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365"/>
  <workbookPr codeName="ThisWorkbook"/>
  <bookViews>
    <workbookView xWindow="65521" yWindow="65521" windowWidth="15480" windowHeight="6180" tabRatio="872" activeTab="0"/>
  </bookViews>
  <sheets>
    <sheet name="Anglen,Buel" sheetId="1" r:id="rId1"/>
    <sheet name="Baker, Bill John" sheetId="2" r:id="rId2"/>
    <sheet name="Cowan-Watts, Cara" sheetId="3" r:id="rId3"/>
    <sheet name="Crittenden, Joe" sheetId="4" r:id="rId4"/>
    <sheet name="Frailey, Meredith" sheetId="5" r:id="rId5"/>
    <sheet name="Garvin, Don" sheetId="6" r:id="rId6"/>
    <sheet name="Grayson, Joe Jr." sheetId="7" r:id="rId7"/>
    <sheet name="Hoskin, Charles" sheetId="8" r:id="rId8"/>
    <sheet name="Johnson, William G." sheetId="9" r:id="rId9"/>
    <sheet name="Keener, John" sheetId="10" r:id="rId10"/>
    <sheet name="Martin, Jackie Bob" sheetId="11" r:id="rId11"/>
    <sheet name="O'Leary, Linda" sheetId="12" r:id="rId12"/>
    <sheet name="Shotpouch, Melvina" sheetId="13" r:id="rId13"/>
    <sheet name="Smith, Chadwick" sheetId="14" r:id="rId14"/>
    <sheet name="Smoke-Connor, Audra" sheetId="15" r:id="rId15"/>
    <sheet name="Thornton, David" sheetId="16" r:id="rId16"/>
    <sheet name="Yargee, Phyllis" sheetId="17" r:id="rId17"/>
  </sheets>
  <definedNames>
    <definedName name="_xlnm.Print_Area" localSheetId="13">'Smith, Chadwick'!$A$1:$L$39</definedName>
  </definedNames>
  <calcPr fullCalcOnLoad="1"/>
</workbook>
</file>

<file path=xl/comments14.xml><?xml version="1.0" encoding="utf-8"?>
<comments xmlns="http://schemas.openxmlformats.org/spreadsheetml/2006/main">
  <authors>
    <author>Geoff Butler</author>
    <author>June Butler</author>
  </authors>
  <commentList>
    <comment ref="G9" authorId="0">
      <text>
        <r>
          <rPr>
            <b/>
            <sz val="8"/>
            <rFont val="Tahoma"/>
            <family val="0"/>
          </rPr>
          <t>J Butler:</t>
        </r>
        <r>
          <rPr>
            <sz val="8"/>
            <rFont val="Tahoma"/>
            <family val="0"/>
          </rPr>
          <t xml:space="preserve">
TRAVELED BY CNE PLANE</t>
        </r>
      </text>
    </comment>
    <comment ref="G13" authorId="0">
      <text>
        <r>
          <rPr>
            <b/>
            <sz val="8"/>
            <rFont val="Tahoma"/>
            <family val="0"/>
          </rPr>
          <t>J Butler:</t>
        </r>
        <r>
          <rPr>
            <sz val="8"/>
            <rFont val="Tahoma"/>
            <family val="0"/>
          </rPr>
          <t xml:space="preserve">
CNE PLANE</t>
        </r>
      </text>
    </comment>
    <comment ref="H12" authorId="1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PD BY CNE
</t>
        </r>
      </text>
    </comment>
  </commentList>
</comments>
</file>

<file path=xl/sharedStrings.xml><?xml version="1.0" encoding="utf-8"?>
<sst xmlns="http://schemas.openxmlformats.org/spreadsheetml/2006/main" count="687" uniqueCount="293">
  <si>
    <t>Tahlequah, OK</t>
  </si>
  <si>
    <t>Payment Detail</t>
  </si>
  <si>
    <t>Payment</t>
  </si>
  <si>
    <t>Trip</t>
  </si>
  <si>
    <t>Destination</t>
  </si>
  <si>
    <t>Purpose</t>
  </si>
  <si>
    <t>Mileage</t>
  </si>
  <si>
    <t>Airfare</t>
  </si>
  <si>
    <t>Lodging</t>
  </si>
  <si>
    <t>Per Diem</t>
  </si>
  <si>
    <t>Other</t>
  </si>
  <si>
    <t>Total</t>
  </si>
  <si>
    <t>No.</t>
  </si>
  <si>
    <t>Date</t>
  </si>
  <si>
    <t>&amp; Auto</t>
  </si>
  <si>
    <t>&amp; Meals</t>
  </si>
  <si>
    <t>Bill John Baker</t>
  </si>
  <si>
    <t>Invoice</t>
  </si>
  <si>
    <t>Cara Cowan-Watts</t>
  </si>
  <si>
    <t>Claremore, OK</t>
  </si>
  <si>
    <t>Audra Smoke-Connor</t>
  </si>
  <si>
    <t>S. Joe Crittenden</t>
  </si>
  <si>
    <t>Stilwell, OK</t>
  </si>
  <si>
    <t>Meredith Frailey</t>
  </si>
  <si>
    <t>Locust Grove, OK</t>
  </si>
  <si>
    <t>Phyllis Yargee</t>
  </si>
  <si>
    <t>Gore, OK</t>
  </si>
  <si>
    <t>David Thornton</t>
  </si>
  <si>
    <t>Vian, OK</t>
  </si>
  <si>
    <t>Hulbert, OK</t>
  </si>
  <si>
    <t>District 3 - Sequoyah</t>
  </si>
  <si>
    <t>District 1 - Cherokee</t>
  </si>
  <si>
    <t>District 6 - Mayes</t>
  </si>
  <si>
    <t>District 5 - Delaware</t>
  </si>
  <si>
    <t>Chad Smith</t>
  </si>
  <si>
    <t>Principal Chief</t>
  </si>
  <si>
    <t>Melvina Shotpouch</t>
  </si>
  <si>
    <t>Jay, OK</t>
  </si>
  <si>
    <t>Linda Hughes-O'Leary</t>
  </si>
  <si>
    <t>Jackie Bob Martin</t>
  </si>
  <si>
    <t>District 2 - Trail of Tears</t>
  </si>
  <si>
    <t>William G. "Bill" Johnson</t>
  </si>
  <si>
    <t>Dewey, OK</t>
  </si>
  <si>
    <t>District 8 - Keeler</t>
  </si>
  <si>
    <t>Vinita, OK</t>
  </si>
  <si>
    <t>District 9 - Craig</t>
  </si>
  <si>
    <t>Joe Grayson, Jr.</t>
  </si>
  <si>
    <t>Deputy Principal Chief</t>
  </si>
  <si>
    <t>Don Garvin</t>
  </si>
  <si>
    <t>Muskogee, OK</t>
  </si>
  <si>
    <t>District 4 - Three Rivers</t>
  </si>
  <si>
    <t>District 7 - Rogers</t>
  </si>
  <si>
    <t>Charles Hoskin</t>
  </si>
  <si>
    <t>Buel Anglen</t>
  </si>
  <si>
    <t>John Keener</t>
  </si>
  <si>
    <t>Salina, OK</t>
  </si>
  <si>
    <t>Fiscal Year 2004</t>
  </si>
  <si>
    <t>TXP-NC101003</t>
  </si>
  <si>
    <t>CHEROKEE, NC</t>
  </si>
  <si>
    <t>TRVCT 61904</t>
  </si>
  <si>
    <t>UNCANSVILLE, CT</t>
  </si>
  <si>
    <t>NATIONAL CONGRESS OF AMERCIAN INDIANS MID YEAR SESSION</t>
  </si>
  <si>
    <t>TRVDC 92004</t>
  </si>
  <si>
    <t>WASHINGTON, DC</t>
  </si>
  <si>
    <t>SMITHSONIUM MUSUEM GRAND OPENING CEREMONY</t>
  </si>
  <si>
    <t>TXPCT62404A</t>
  </si>
  <si>
    <t>UNCASSIVILLE, CT</t>
  </si>
  <si>
    <t>NCAI MIDYEAR SESSION</t>
  </si>
  <si>
    <t>EAST WEST JOINT COUNCIL MEETING</t>
  </si>
  <si>
    <t>TXPOKC 81104</t>
  </si>
  <si>
    <t>OK CITY, OK</t>
  </si>
  <si>
    <t>NATIONAL INDIAN HEALTH BOARD 21ST ANNUAL CONSUMER CONFERENCE</t>
  </si>
  <si>
    <t>TXPNM 112304</t>
  </si>
  <si>
    <t>ALBUQUERQUE, NM</t>
  </si>
  <si>
    <t>NATIONAL CONGRESS OF AMERICANS INDIANS 60TH ANNUAL SEESSION OF AISES</t>
  </si>
  <si>
    <t>TXPNC 101003</t>
  </si>
  <si>
    <t>TOTAL as of September 30, 2004</t>
  </si>
  <si>
    <t>TXPCT 62404</t>
  </si>
  <si>
    <t>UNCASVILLE, CT</t>
  </si>
  <si>
    <t>TXPDC 22704</t>
  </si>
  <si>
    <t>CN WASHINGTON OFFICE CHIEFS MEETING</t>
  </si>
  <si>
    <t>TXPADA-40804</t>
  </si>
  <si>
    <t>ADA, OK</t>
  </si>
  <si>
    <t>FIVE TRIBES INTER QRTLY MEETING</t>
  </si>
  <si>
    <t>TXPFL 50304</t>
  </si>
  <si>
    <t>ORLANDO, FL</t>
  </si>
  <si>
    <t>2004 SPRING DOI/DHHS SELF GOV CONFERENCE</t>
  </si>
  <si>
    <t>TRVNC 100304</t>
  </si>
  <si>
    <t>TXPNV 092503</t>
  </si>
  <si>
    <t>LAS VEGAS, NV</t>
  </si>
  <si>
    <t>ROLES AND RESPONSIBILIES FOR BOARD MEMBERS</t>
  </si>
  <si>
    <t>TXPNM 112003</t>
  </si>
  <si>
    <t>NCAI 60TH ANNUAL SESSION</t>
  </si>
  <si>
    <t>TXPOK 10904</t>
  </si>
  <si>
    <t>DURANT, OK</t>
  </si>
  <si>
    <t>TXPADA 40804</t>
  </si>
  <si>
    <t>TXPWI 83104</t>
  </si>
  <si>
    <t>MILWAUKEE, WI</t>
  </si>
  <si>
    <t>NATIONAL INDIAN COUNCIL ON AGING</t>
  </si>
  <si>
    <t>TRVNC 100204</t>
  </si>
  <si>
    <t>TXPNC 11703</t>
  </si>
  <si>
    <t>GREENSBORO, NC</t>
  </si>
  <si>
    <t>NATIONAL INDIAN EDUCATION ASSOCIATION 34TH ANNUAL CALL TO CONFERENCE</t>
  </si>
  <si>
    <t>TXPDC 11704</t>
  </si>
  <si>
    <t>HEADSTART LEADERSHIP CONFERENCE</t>
  </si>
  <si>
    <t>TXPDC 32604</t>
  </si>
  <si>
    <t>8TH ANNUAL INDIAN EDUCATION NIEA LEGISLATIVE SUMMIT</t>
  </si>
  <si>
    <t>TXPADA  40804</t>
  </si>
  <si>
    <t>CN WASHINGTON  OFFICE CHIEF'S MEETING</t>
  </si>
  <si>
    <t>TRVVA 93004</t>
  </si>
  <si>
    <t>NATIONAL HEADSTART ASSOCIATION LEADERSHIP CONFERENCE</t>
  </si>
  <si>
    <t>TRVNC 100503</t>
  </si>
  <si>
    <t xml:space="preserve">CHEROKEE FALL FESTIVAL </t>
  </si>
  <si>
    <t>TXPDC 92604</t>
  </si>
  <si>
    <t>SMITHSONIAN MUSUEM GRAND OPENING CEREMONIES</t>
  </si>
  <si>
    <t>TXPPR 121703</t>
  </si>
  <si>
    <t>PUERTO RICO</t>
  </si>
  <si>
    <t>20TH ANNUAL NHSA PARENT TRAINING CONFERENCE</t>
  </si>
  <si>
    <t>TXNC 101003</t>
  </si>
  <si>
    <t xml:space="preserve">NCAI MID YEAR SESSION </t>
  </si>
  <si>
    <t>CHEROKEE FALL FESTIVAL</t>
  </si>
  <si>
    <t>TXPOK 12404</t>
  </si>
  <si>
    <t>TULSA, OK</t>
  </si>
  <si>
    <t>LANGUAGE TEACHER EDUCATION MEETING</t>
  </si>
  <si>
    <t>CHEROKEE NC</t>
  </si>
  <si>
    <t>8TH TRAIL OF TEARS ASSOCIATION CONFERENCE AND SYMPOSIUM</t>
  </si>
  <si>
    <t>UNCASSVILLE, CT</t>
  </si>
  <si>
    <t>TXPNC 101103</t>
  </si>
  <si>
    <t>NATIONAL CONGRESS OF AMERICAN INDIANS 60TH ANNUAL SESSION</t>
  </si>
  <si>
    <t>TRVNC100403</t>
  </si>
  <si>
    <t>TXPNM 112103</t>
  </si>
  <si>
    <t>TXPDURANT 190</t>
  </si>
  <si>
    <t>ANAHEIM, CA</t>
  </si>
  <si>
    <t>NATIONAL AMERICAN INDIAN HOUSING AND TRADE SHOW- 30TH ANNIVERSARY</t>
  </si>
  <si>
    <t>TXPFL 101703</t>
  </si>
  <si>
    <t>MIAMI, FL</t>
  </si>
  <si>
    <t>2003 JOM "CALL TO CONFERENCE"</t>
  </si>
  <si>
    <t>TRVOKC 120103</t>
  </si>
  <si>
    <t>2003 OKLAHOMA INDIAN EDUCATION CONFERENCE</t>
  </si>
  <si>
    <t>TXPTULS32504</t>
  </si>
  <si>
    <t>2004 JOM "CALL TO CONFERENCE"</t>
  </si>
  <si>
    <t>TRVOKC 60104</t>
  </si>
  <si>
    <t>SOVEREIGNTY SYMPOSIUM</t>
  </si>
  <si>
    <t>TXPBART 091403</t>
  </si>
  <si>
    <t>BARTLESVILLE, OK</t>
  </si>
  <si>
    <t>COMMUNITY MEETINGS</t>
  </si>
  <si>
    <t>TXPNM 112203</t>
  </si>
  <si>
    <t>HOUSTON, TX &amp; ALBUQUERQUE, NM</t>
  </si>
  <si>
    <t>TOWNSHIP CHEROKEE GROUP IN HOUSTON,TX AND ATTEND NCAI CONFERENCE IN ALBUQUERQUE, NM</t>
  </si>
  <si>
    <t>TXPOKC 120303</t>
  </si>
  <si>
    <t>COMMITTEE  FOR INTERVIEWING OKC AREA DIRECTOR OF INDIAN HEALTH SERVICE</t>
  </si>
  <si>
    <t>TXPDC 10804</t>
  </si>
  <si>
    <t>TRIBAL LEADER DIABETES SUMMIT</t>
  </si>
  <si>
    <t>TXPOKC 2104</t>
  </si>
  <si>
    <t>01/310/04</t>
  </si>
  <si>
    <t>SPEAKERS BALL</t>
  </si>
  <si>
    <t>MEET WITH SECRETARY OF INDIAN AFFAIRS    RE: SELF-GOVERNANCE</t>
  </si>
  <si>
    <t>MEET WITH THE STATE CHAMBER CELEBRATE OKLA EMPLOYERS WHO SUPPORT THE GUARD RESERVE</t>
  </si>
  <si>
    <t>TXPOKC 33004</t>
  </si>
  <si>
    <t>TRXPDURA 40804</t>
  </si>
  <si>
    <t>INTER TRIBAL COUNCIL MEETING OF THE FIVE CIVILIZED TRIBES</t>
  </si>
  <si>
    <t>TXPFL 5704</t>
  </si>
  <si>
    <t>2004 SELF GOVERNANCE SPRING CONFERENCE</t>
  </si>
  <si>
    <t>TXPOKC 81004</t>
  </si>
  <si>
    <t>NATIONAL INDIAN HEALTH BOARD ANNUAL CONSUMER CONFERENCE</t>
  </si>
  <si>
    <t>SOMERSET &amp; LEXINGTON, KY</t>
  </si>
  <si>
    <t>TOUR SACRED SITES AT DANIEL BOONE NATIONAL FOREST &amp; ATTEND CHEROKEE HERITAGE EVENT</t>
  </si>
  <si>
    <t>TXPDC 060403</t>
  </si>
  <si>
    <t>LEGISLATIVE HEARING ON INDIAN RESERVATION ROADS PROGRAM</t>
  </si>
  <si>
    <t>TXPGA 082403</t>
  </si>
  <si>
    <t>ATLANTA, GA</t>
  </si>
  <si>
    <t>CHEROKEE NATION HISTORY COURSE</t>
  </si>
  <si>
    <t>MEET WITH SENATE DEMOCRATS &amp; TRAIL OF TEARS ASSOCIATION CONFERENCE AND EASTERN BAND OF CHEROKEE INDIANS FALL FESTIVAL</t>
  </si>
  <si>
    <t>TXPLONEW 11140</t>
  </si>
  <si>
    <t>LONE WOLF, OK</t>
  </si>
  <si>
    <t>OKLAHOMA ACADEMY TOWN HALL MEETING</t>
  </si>
  <si>
    <t>ALBUQUERQUE, NM &amp; SAN FRANSISCO, CA</t>
  </si>
  <si>
    <t>NATIVE AMERICAN MUSIC AWARDS AND CHEROKEE NATION HISTORY COURSE</t>
  </si>
  <si>
    <t>TXPDC 111203</t>
  </si>
  <si>
    <t>SPEAK AT DEPARTMENT OF JUSTICE NATIVE AMERICAN CEREMONY</t>
  </si>
  <si>
    <t>NEW YORK &amp; WASHINGTON, DC</t>
  </si>
  <si>
    <t>PHILADELPHIA, MS</t>
  </si>
  <si>
    <t>MISSISSIPPI CHOCTAW FESTIVAL</t>
  </si>
  <si>
    <t>TXPMS 071003</t>
  </si>
  <si>
    <t>FIRST CONGRESSIONAL  FORUM FOR NATIVE AMERICAN INDIANS MEET WITH DC REPRESENTATIVES</t>
  </si>
  <si>
    <t>SPEAK AT SMITHSONIAN NATIONAL MUSEUM OF THE AMERICAN INDIANS EVENT (NY) AND MEETING AT THE NATIONAL PARK SERVICE OFFICE (DC)</t>
  </si>
  <si>
    <t>RAPID CITY, SD</t>
  </si>
  <si>
    <t>TXPSD 13004</t>
  </si>
  <si>
    <t>NATIVE AMERICAN TELECOMMUNICATIONS CONFERENCE</t>
  </si>
  <si>
    <t>TXPOKC 21104</t>
  </si>
  <si>
    <t>MEET WITH JUDGE HENRY &amp; ATTEND STATE CHAMBER BOARD MEETING</t>
  </si>
  <si>
    <t>LOS ANGELES, CA &amp; PHOENIX, AZ</t>
  </si>
  <si>
    <t>MEET WITH DEWAYNE KING &amp; JACKIE AUTRY TO DISCUSS STEWARDSHIP COUNCIL AND TRAIL OF TEARS PROJECT &amp; CHEROKEE NATION HISTORY COURSE</t>
  </si>
  <si>
    <t>TXPOKC 41304</t>
  </si>
  <si>
    <t>EVENT AT GOVERNOR'S MANSION AND CHEROKEE NATION LEGISLATIVE DAY AT CAPITOL</t>
  </si>
  <si>
    <t>TXPAZ 50304</t>
  </si>
  <si>
    <t>TUBA CITY, AZ</t>
  </si>
  <si>
    <t>TXPDC/CO</t>
  </si>
  <si>
    <t>TXPCA/AZ 22004</t>
  </si>
  <si>
    <t>TXPNY/DC 12403</t>
  </si>
  <si>
    <t>TXPNM/CA 111703</t>
  </si>
  <si>
    <t>TXPDC/KS/NC 10803</t>
  </si>
  <si>
    <t>WASHINGTON, DC/ KANSAS / CHEROKEE, NC</t>
  </si>
  <si>
    <t>NASHIVILLE, TN/ WASHINTON, DC/DENVER, CO</t>
  </si>
  <si>
    <t>MEET GOVERNOR(TN)TESTIFY(DC)SPEAK AT GATHERING OF NATIVE AMERICANS &amp; FRIENDS CONFERENCE (CO)</t>
  </si>
  <si>
    <t>TXPDC 040204</t>
  </si>
  <si>
    <t>MEET WITH WASHINGTON REPRESENTATIVES AND EASTERN BAND OF CHEROKEES</t>
  </si>
  <si>
    <t>TXPNM 40604</t>
  </si>
  <si>
    <t xml:space="preserve">ALBUQUERQUE, NM </t>
  </si>
  <si>
    <t>2004  NATIONAL INDIAN GAMING CONFERENCE</t>
  </si>
  <si>
    <t>TXPOKC 60304</t>
  </si>
  <si>
    <t>SOVEREIGNTY SYMPOSIUM XVII 2004</t>
  </si>
  <si>
    <t>TXPCA 62204</t>
  </si>
  <si>
    <t xml:space="preserve">LOS ANGELES, CA </t>
  </si>
  <si>
    <t>HONOR FERN HOLLAND(TRIBAL MEMBER KILLED IN IRAQ)</t>
  </si>
  <si>
    <t>05/18/014</t>
  </si>
  <si>
    <t>TXPDC 51904</t>
  </si>
  <si>
    <t>CHANGING THE FACE OF LEADERSHIP EVENT</t>
  </si>
  <si>
    <t>SEATTLE, WA</t>
  </si>
  <si>
    <t>TXPWA 62804</t>
  </si>
  <si>
    <t>Wahington, DC</t>
  </si>
  <si>
    <t>TXPDC 091604</t>
  </si>
  <si>
    <t>TXPCA 61104</t>
  </si>
  <si>
    <t>Oklahoma City, OK</t>
  </si>
  <si>
    <t>AICCO Luncheon &amp; Meetings</t>
  </si>
  <si>
    <t>Choctaw, Missisippi</t>
  </si>
  <si>
    <t>Choctaw Mississippi Indian Fair</t>
  </si>
  <si>
    <t>Washington, DC</t>
  </si>
  <si>
    <t>Speak Unity Conference &amp; Meetings with DC Reps</t>
  </si>
  <si>
    <t>Los Angeles, CA</t>
  </si>
  <si>
    <t>Stewardship Council Meeting</t>
  </si>
  <si>
    <t>State Are Chambers Washington &amp; Meetings w/DC Reps</t>
  </si>
  <si>
    <t>National Musuem American Indians</t>
  </si>
  <si>
    <t>TXPMS 71504</t>
  </si>
  <si>
    <t>TXPOKC 72204</t>
  </si>
  <si>
    <t>TXPDC 80604</t>
  </si>
  <si>
    <t>TXPDC 91604</t>
  </si>
  <si>
    <t>TXPCA 81504</t>
  </si>
  <si>
    <t>TXPDC 92504</t>
  </si>
  <si>
    <t>TOTAL as of Sept. 30, 2004</t>
  </si>
  <si>
    <t>u</t>
  </si>
  <si>
    <t>v</t>
  </si>
  <si>
    <t>aa</t>
  </si>
  <si>
    <t>w</t>
  </si>
  <si>
    <t>c</t>
  </si>
  <si>
    <t>b</t>
  </si>
  <si>
    <t>d</t>
  </si>
  <si>
    <t>e</t>
  </si>
  <si>
    <t>g</t>
  </si>
  <si>
    <t>i</t>
  </si>
  <si>
    <t>h</t>
  </si>
  <si>
    <t>j</t>
  </si>
  <si>
    <t>k</t>
  </si>
  <si>
    <t>o</t>
  </si>
  <si>
    <t>p</t>
  </si>
  <si>
    <t>q</t>
  </si>
  <si>
    <t>r</t>
  </si>
  <si>
    <t>s</t>
  </si>
  <si>
    <t>t</t>
  </si>
  <si>
    <t>m</t>
  </si>
  <si>
    <t>TXPWI 062003</t>
  </si>
  <si>
    <t>GREEN BAY, WI</t>
  </si>
  <si>
    <t>SPEAK AT FREE PRESS CONFERENCE</t>
  </si>
  <si>
    <t>TYLER, TX &amp; DENVER, CO</t>
  </si>
  <si>
    <t>TXPTXCO 07130</t>
  </si>
  <si>
    <t>CULTURAL EVENT WITH TX CHEROKEES &amp; CN HISTORY COURSE</t>
  </si>
  <si>
    <t>TXP DC 92604</t>
  </si>
  <si>
    <t>SMITHSONIUM MUSEUM GRAND OPENING CEREMONIES</t>
  </si>
  <si>
    <t>K</t>
  </si>
  <si>
    <t>L</t>
  </si>
  <si>
    <t>LL</t>
  </si>
  <si>
    <t>M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</si>
  <si>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</si>
  <si>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</si>
  <si>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</si>
  <si>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</si>
  <si>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</si>
  <si>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</si>
  <si>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</si>
  <si>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</si>
  <si>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</si>
  <si>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TXPRRDM 61504</t>
  </si>
  <si>
    <t>ARDMORE, OK</t>
  </si>
  <si>
    <t>14th ANNUAL EMS EDUCATIONAL SUMMER CONFERENCE</t>
  </si>
  <si>
    <t>TXPAR 72504</t>
  </si>
  <si>
    <t>TXPOKC 52704</t>
  </si>
  <si>
    <t>TXPKY 82204</t>
  </si>
  <si>
    <t>LITTLE ROCK, AR</t>
  </si>
  <si>
    <t>TRAIL OF TEARS ASSOCIATION CONFERENCE</t>
  </si>
  <si>
    <t>8TH ANNUAL TRAIL OF TEARS ASSOCIATION AND CONFERENCE AND SYMPOSIUM</t>
  </si>
  <si>
    <t>No Travel in FY 04</t>
  </si>
  <si>
    <t>TESTIFY-COMMITTEE ON FINANCIAL SERVICES</t>
  </si>
  <si>
    <t>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</si>
</sst>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  <numFmt numFmtId="166" formatCode="[$-409]dddd\,\ mmmm\ dd\,\ yyyy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m/d/yyyy;@"/>
    <numFmt numFmtId="171" formatCode="mm/dd/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left"/>
    </xf>
    <xf numFmtId="14" fontId="0" fillId="0" borderId="0" xfId="0" applyNumberFormat="1" applyFont="1" applyBorder="1" applyAlignment="1">
      <alignment horizontal="centerContinuous"/>
    </xf>
    <xf numFmtId="40" fontId="0" fillId="0" borderId="0" xfId="0" applyNumberFormat="1" applyFont="1" applyBorder="1" applyAlignment="1">
      <alignment horizontal="right"/>
    </xf>
    <xf numFmtId="40" fontId="0" fillId="0" borderId="18" xfId="0" applyNumberFormat="1" applyFont="1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/>
    </xf>
    <xf numFmtId="40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40" fontId="0" fillId="0" borderId="0" xfId="0" applyNumberFormat="1" applyFont="1" applyFill="1" applyBorder="1" applyAlignment="1">
      <alignment horizontal="right"/>
    </xf>
    <xf numFmtId="40" fontId="0" fillId="0" borderId="1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0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3" fontId="0" fillId="0" borderId="0" xfId="42" applyFont="1" applyFill="1" applyBorder="1" applyAlignment="1">
      <alignment horizontal="right"/>
    </xf>
    <xf numFmtId="40" fontId="0" fillId="0" borderId="18" xfId="42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0" xfId="42" applyNumberFormat="1" applyFont="1" applyFill="1" applyBorder="1" applyAlignment="1">
      <alignment horizontal="center"/>
    </xf>
    <xf numFmtId="40" fontId="0" fillId="0" borderId="0" xfId="42" applyNumberFormat="1" applyFont="1" applyFill="1" applyBorder="1" applyAlignment="1">
      <alignment horizontal="centerContinuous"/>
    </xf>
    <xf numFmtId="40" fontId="0" fillId="0" borderId="0" xfId="0" applyNumberFormat="1" applyFont="1" applyFill="1" applyAlignment="1">
      <alignment/>
    </xf>
    <xf numFmtId="43" fontId="0" fillId="0" borderId="0" xfId="42" applyFont="1" applyAlignment="1">
      <alignment/>
    </xf>
    <xf numFmtId="0" fontId="0" fillId="0" borderId="0" xfId="42" applyNumberFormat="1" applyFont="1" applyAlignment="1">
      <alignment/>
    </xf>
    <xf numFmtId="0" fontId="0" fillId="0" borderId="0" xfId="42" applyNumberFormat="1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Alignment="1">
      <alignment/>
    </xf>
    <xf numFmtId="43" fontId="0" fillId="0" borderId="0" xfId="42" applyFont="1" applyAlignment="1">
      <alignment/>
    </xf>
    <xf numFmtId="171" fontId="0" fillId="0" borderId="0" xfId="0" applyNumberFormat="1" applyFont="1" applyFill="1" applyBorder="1" applyAlignment="1">
      <alignment horizontal="left"/>
    </xf>
    <xf numFmtId="171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3" fontId="0" fillId="0" borderId="0" xfId="42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14" fontId="0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 wrapText="1"/>
    </xf>
    <xf numFmtId="14" fontId="0" fillId="0" borderId="0" xfId="0" applyNumberFormat="1" applyFont="1" applyAlignment="1">
      <alignment/>
    </xf>
    <xf numFmtId="14" fontId="0" fillId="0" borderId="0" xfId="42" applyNumberFormat="1" applyFont="1" applyAlignment="1">
      <alignment/>
    </xf>
    <xf numFmtId="0" fontId="0" fillId="0" borderId="0" xfId="0" applyFill="1" applyBorder="1" applyAlignment="1">
      <alignment/>
    </xf>
    <xf numFmtId="40" fontId="0" fillId="0" borderId="0" xfId="0" applyNumberFormat="1" applyFill="1" applyAlignment="1">
      <alignment/>
    </xf>
    <xf numFmtId="44" fontId="0" fillId="0" borderId="0" xfId="44" applyFont="1" applyFill="1" applyAlignment="1">
      <alignment horizontal="right"/>
    </xf>
    <xf numFmtId="44" fontId="0" fillId="0" borderId="0" xfId="44" applyFont="1" applyAlignment="1">
      <alignment horizontal="right"/>
    </xf>
    <xf numFmtId="164" fontId="0" fillId="0" borderId="18" xfId="0" applyNumberFormat="1" applyFont="1" applyBorder="1" applyAlignment="1">
      <alignment/>
    </xf>
    <xf numFmtId="44" fontId="0" fillId="0" borderId="0" xfId="44" applyFont="1" applyFill="1" applyAlignment="1">
      <alignment/>
    </xf>
    <xf numFmtId="0" fontId="0" fillId="0" borderId="0" xfId="0" applyFill="1" applyAlignment="1">
      <alignment wrapText="1"/>
    </xf>
    <xf numFmtId="44" fontId="0" fillId="0" borderId="0" xfId="44" applyFont="1" applyFill="1" applyAlignment="1">
      <alignment wrapText="1"/>
    </xf>
    <xf numFmtId="40" fontId="0" fillId="0" borderId="0" xfId="42" applyNumberFormat="1" applyFont="1" applyFill="1" applyBorder="1" applyAlignment="1">
      <alignment horizontal="center" wrapText="1"/>
    </xf>
    <xf numFmtId="40" fontId="0" fillId="0" borderId="0" xfId="0" applyNumberFormat="1" applyFill="1" applyAlignment="1">
      <alignment wrapText="1"/>
    </xf>
    <xf numFmtId="44" fontId="0" fillId="0" borderId="0" xfId="44" applyFont="1" applyFill="1" applyAlignment="1">
      <alignment/>
    </xf>
    <xf numFmtId="164" fontId="0" fillId="0" borderId="18" xfId="0" applyNumberFormat="1" applyFont="1" applyFill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42" applyFont="1" applyBorder="1" applyAlignment="1">
      <alignment horizontal="centerContinuous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40" fontId="0" fillId="0" borderId="0" xfId="42" applyNumberFormat="1" applyFont="1" applyFill="1" applyBorder="1" applyAlignment="1">
      <alignment horizontal="left"/>
    </xf>
    <xf numFmtId="0" fontId="0" fillId="0" borderId="0" xfId="42" applyNumberFormat="1" applyFont="1" applyFill="1" applyBorder="1" applyAlignment="1">
      <alignment horizontal="left"/>
    </xf>
    <xf numFmtId="0" fontId="0" fillId="0" borderId="0" xfId="42" applyNumberFormat="1" applyFont="1" applyFill="1" applyBorder="1" applyAlignment="1">
      <alignment horizontal="left" wrapText="1"/>
    </xf>
    <xf numFmtId="43" fontId="0" fillId="0" borderId="0" xfId="42" applyFont="1" applyAlignment="1">
      <alignment horizontal="left"/>
    </xf>
    <xf numFmtId="43" fontId="0" fillId="0" borderId="0" xfId="42" applyFont="1" applyFill="1" applyBorder="1" applyAlignment="1">
      <alignment horizontal="left"/>
    </xf>
    <xf numFmtId="0" fontId="0" fillId="0" borderId="0" xfId="42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 wrapText="1"/>
    </xf>
    <xf numFmtId="14" fontId="0" fillId="0" borderId="0" xfId="0" applyNumberFormat="1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1.57421875" style="0" bestFit="1" customWidth="1"/>
    <col min="3" max="4" width="11.28125" style="0" bestFit="1" customWidth="1"/>
    <col min="5" max="5" width="22.8515625" style="0" bestFit="1" customWidth="1"/>
    <col min="6" max="6" width="38.57421875" style="60" bestFit="1" customWidth="1"/>
    <col min="7" max="7" width="10.28125" style="0" bestFit="1" customWidth="1"/>
    <col min="8" max="8" width="7.00390625" style="0" bestFit="1" customWidth="1"/>
    <col min="9" max="9" width="10.421875" style="0" bestFit="1" customWidth="1"/>
    <col min="10" max="10" width="9.8515625" style="0" bestFit="1" customWidth="1"/>
    <col min="11" max="11" width="10.140625" style="0" bestFit="1" customWidth="1"/>
    <col min="12" max="12" width="10.421875" style="0" bestFit="1" customWidth="1"/>
  </cols>
  <sheetData>
    <row r="1" spans="1:6" s="2" customFormat="1" ht="12.75" customHeight="1">
      <c r="A1" s="1" t="s">
        <v>53</v>
      </c>
      <c r="E1" s="3"/>
      <c r="F1" s="3"/>
    </row>
    <row r="2" spans="1:6" s="2" customFormat="1" ht="12.75" customHeight="1">
      <c r="A2" s="2" t="s">
        <v>0</v>
      </c>
      <c r="E2" s="3"/>
      <c r="F2" s="3"/>
    </row>
    <row r="3" spans="1:6" s="2" customFormat="1" ht="12.75" customHeight="1">
      <c r="A3" s="2" t="s">
        <v>1</v>
      </c>
      <c r="E3" s="3"/>
      <c r="F3" s="3"/>
    </row>
    <row r="4" spans="1:6" s="2" customFormat="1" ht="12.75" customHeight="1">
      <c r="A4" s="2" t="s">
        <v>56</v>
      </c>
      <c r="E4" s="3"/>
      <c r="F4" s="3"/>
    </row>
    <row r="5" spans="5:6" s="2" customFormat="1" ht="12.75" customHeight="1">
      <c r="E5" s="3"/>
      <c r="F5" s="3"/>
    </row>
    <row r="6" spans="5:6" s="2" customFormat="1" ht="12.75" customHeight="1" thickBot="1">
      <c r="E6" s="3"/>
      <c r="F6" s="3"/>
    </row>
    <row r="7" spans="1:12" s="2" customFormat="1" ht="12.75" customHeight="1">
      <c r="A7" s="4" t="s">
        <v>17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s="2" customFormat="1" ht="12.75" customHeight="1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s="2" customFormat="1" ht="42.75" customHeight="1">
      <c r="A9" s="3" t="s">
        <v>57</v>
      </c>
      <c r="B9" s="18">
        <v>38079</v>
      </c>
      <c r="C9" s="18">
        <v>37898</v>
      </c>
      <c r="D9" s="18">
        <v>37904</v>
      </c>
      <c r="E9" s="3" t="s">
        <v>58</v>
      </c>
      <c r="F9" s="87" t="s">
        <v>289</v>
      </c>
      <c r="G9" s="92">
        <v>682.56</v>
      </c>
      <c r="H9" s="92"/>
      <c r="I9" s="92">
        <v>423.54</v>
      </c>
      <c r="J9" s="92">
        <v>201</v>
      </c>
      <c r="K9" s="92"/>
      <c r="L9" s="92">
        <f>SUM(G9:K9)</f>
        <v>1307.1</v>
      </c>
    </row>
    <row r="10" spans="1:12" s="2" customFormat="1" ht="40.5" customHeight="1">
      <c r="A10" s="3" t="s">
        <v>59</v>
      </c>
      <c r="B10" s="18">
        <v>38240</v>
      </c>
      <c r="C10" s="18">
        <v>38156</v>
      </c>
      <c r="D10" s="18">
        <v>38162</v>
      </c>
      <c r="E10" s="3" t="s">
        <v>60</v>
      </c>
      <c r="F10" s="87" t="s">
        <v>61</v>
      </c>
      <c r="G10" s="92">
        <v>497.32</v>
      </c>
      <c r="H10" s="92"/>
      <c r="I10" s="92">
        <v>661.74</v>
      </c>
      <c r="J10" s="92">
        <v>201</v>
      </c>
      <c r="K10" s="92">
        <v>478.1</v>
      </c>
      <c r="L10" s="92">
        <f>SUM(G10:K10)</f>
        <v>1838.1599999999999</v>
      </c>
    </row>
    <row r="11" spans="1:12" s="2" customFormat="1" ht="25.5" customHeight="1">
      <c r="A11" s="3" t="s">
        <v>62</v>
      </c>
      <c r="B11" s="18">
        <v>38245</v>
      </c>
      <c r="C11" s="18">
        <v>38248</v>
      </c>
      <c r="D11" s="18">
        <v>38254</v>
      </c>
      <c r="E11" s="3" t="s">
        <v>63</v>
      </c>
      <c r="F11" s="87" t="s">
        <v>64</v>
      </c>
      <c r="G11" s="92">
        <v>296.41</v>
      </c>
      <c r="H11" s="92"/>
      <c r="I11" s="92">
        <v>1222.28</v>
      </c>
      <c r="J11" s="92">
        <v>281.5</v>
      </c>
      <c r="K11" s="92">
        <f>93.5+107.52</f>
        <v>201.01999999999998</v>
      </c>
      <c r="L11" s="92">
        <f>SUM(G11:K11)</f>
        <v>2001.21</v>
      </c>
    </row>
    <row r="12" spans="5:12" s="2" customFormat="1" ht="12.75" customHeight="1">
      <c r="E12" s="3"/>
      <c r="F12" s="3"/>
      <c r="G12" s="108"/>
      <c r="H12" s="108"/>
      <c r="I12" s="108"/>
      <c r="J12" s="108"/>
      <c r="K12" s="108"/>
      <c r="L12" s="115"/>
    </row>
    <row r="13" spans="5:12" s="2" customFormat="1" ht="12.75" customHeight="1">
      <c r="E13" s="3"/>
      <c r="F13" s="19" t="s">
        <v>239</v>
      </c>
      <c r="G13" s="86">
        <f aca="true" t="shared" si="0" ref="G13:L13">SUM(G9:G12)</f>
        <v>1476.29</v>
      </c>
      <c r="H13" s="86">
        <f t="shared" si="0"/>
        <v>0</v>
      </c>
      <c r="I13" s="86">
        <f t="shared" si="0"/>
        <v>2307.56</v>
      </c>
      <c r="J13" s="86">
        <f t="shared" si="0"/>
        <v>683.5</v>
      </c>
      <c r="K13" s="86">
        <f t="shared" si="0"/>
        <v>679.12</v>
      </c>
      <c r="L13" s="86">
        <f t="shared" si="0"/>
        <v>5146.469999999999</v>
      </c>
    </row>
    <row r="14" spans="5:6" s="2" customFormat="1" ht="12.75" customHeight="1">
      <c r="E14" s="3"/>
      <c r="F14" s="3"/>
    </row>
    <row r="15" spans="5:6" s="2" customFormat="1" ht="12.75" customHeight="1">
      <c r="E15" s="3"/>
      <c r="F15" s="3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4" width="10.140625" style="0" bestFit="1" customWidth="1"/>
    <col min="5" max="5" width="15.421875" style="0" bestFit="1" customWidth="1"/>
    <col min="6" max="6" width="37.28125" style="60" bestFit="1" customWidth="1"/>
    <col min="7" max="8" width="8.7109375" style="0" bestFit="1" customWidth="1"/>
    <col min="9" max="9" width="10.28125" style="0" bestFit="1" customWidth="1"/>
    <col min="10" max="10" width="8.8515625" style="0" bestFit="1" customWidth="1"/>
    <col min="11" max="11" width="8.7109375" style="0" bestFit="1" customWidth="1"/>
    <col min="12" max="12" width="10.28125" style="0" bestFit="1" customWidth="1"/>
  </cols>
  <sheetData>
    <row r="1" spans="1:12" ht="12.75">
      <c r="A1" s="1" t="s">
        <v>54</v>
      </c>
      <c r="B1" s="2"/>
      <c r="C1" s="2"/>
      <c r="D1" s="2"/>
      <c r="E1" s="3"/>
      <c r="F1" s="19" t="s">
        <v>32</v>
      </c>
      <c r="G1" s="2"/>
      <c r="H1" s="2"/>
      <c r="I1" s="2"/>
      <c r="J1" s="2"/>
      <c r="K1" s="2"/>
      <c r="L1" s="2"/>
    </row>
    <row r="2" spans="1:12" ht="12.75">
      <c r="A2" s="2" t="s">
        <v>55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17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12.75">
      <c r="A9" s="46" t="s">
        <v>111</v>
      </c>
      <c r="B9" s="27">
        <v>37897</v>
      </c>
      <c r="C9" s="28">
        <v>37899</v>
      </c>
      <c r="D9" s="28">
        <v>37906</v>
      </c>
      <c r="E9" s="29" t="s">
        <v>58</v>
      </c>
      <c r="F9" s="29" t="s">
        <v>120</v>
      </c>
      <c r="G9" s="40">
        <v>720</v>
      </c>
      <c r="H9" s="40"/>
      <c r="I9" s="40">
        <v>638.58</v>
      </c>
      <c r="J9" s="40">
        <v>222</v>
      </c>
      <c r="K9" s="40">
        <v>48</v>
      </c>
      <c r="L9" s="24">
        <f>SUM(G9:K9)</f>
        <v>1628.58</v>
      </c>
    </row>
    <row r="10" spans="1:12" ht="25.5">
      <c r="A10" s="46" t="s">
        <v>121</v>
      </c>
      <c r="B10" s="30">
        <v>38030</v>
      </c>
      <c r="C10" s="30">
        <v>38009</v>
      </c>
      <c r="D10" s="30">
        <v>38010</v>
      </c>
      <c r="E10" s="31" t="s">
        <v>122</v>
      </c>
      <c r="F10" s="98" t="s">
        <v>123</v>
      </c>
      <c r="G10" s="40">
        <v>40.78</v>
      </c>
      <c r="H10" s="40"/>
      <c r="I10" s="40">
        <v>64.7</v>
      </c>
      <c r="J10" s="40">
        <v>46.5</v>
      </c>
      <c r="K10" s="40"/>
      <c r="L10" s="24">
        <f>SUM(G10:K10)</f>
        <v>151.98000000000002</v>
      </c>
    </row>
    <row r="11" spans="1:12" ht="12.75">
      <c r="A11" s="46" t="s">
        <v>77</v>
      </c>
      <c r="B11" s="91">
        <v>38233</v>
      </c>
      <c r="C11" s="91">
        <v>38157</v>
      </c>
      <c r="D11" s="91">
        <v>38162</v>
      </c>
      <c r="E11" s="3" t="s">
        <v>78</v>
      </c>
      <c r="F11" s="20" t="s">
        <v>67</v>
      </c>
      <c r="G11" s="25">
        <v>39.22</v>
      </c>
      <c r="H11" s="25">
        <v>475.9</v>
      </c>
      <c r="I11" s="25">
        <v>599.2</v>
      </c>
      <c r="J11" s="25">
        <v>170.5</v>
      </c>
      <c r="K11" s="25">
        <v>889.79</v>
      </c>
      <c r="L11" s="25">
        <f>SUM(G11:K11)</f>
        <v>2174.61</v>
      </c>
    </row>
    <row r="12" spans="1:12" ht="12.75">
      <c r="A12" s="2"/>
      <c r="B12" s="2"/>
      <c r="C12" s="2"/>
      <c r="D12" s="2"/>
      <c r="E12" s="3"/>
      <c r="F12" s="19" t="s">
        <v>76</v>
      </c>
      <c r="G12" s="107">
        <f aca="true" t="shared" si="0" ref="G12:L12">SUM(G9:G11)</f>
        <v>800</v>
      </c>
      <c r="H12" s="107">
        <f t="shared" si="0"/>
        <v>475.9</v>
      </c>
      <c r="I12" s="107">
        <f t="shared" si="0"/>
        <v>1302.48</v>
      </c>
      <c r="J12" s="107">
        <f t="shared" si="0"/>
        <v>439</v>
      </c>
      <c r="K12" s="107">
        <f t="shared" si="0"/>
        <v>937.79</v>
      </c>
      <c r="L12" s="107">
        <f t="shared" si="0"/>
        <v>3955.17</v>
      </c>
    </row>
    <row r="13" spans="1:12" ht="12.75">
      <c r="A13" s="2"/>
      <c r="B13" s="2"/>
      <c r="C13" s="2"/>
      <c r="D13" s="2"/>
      <c r="E13" s="3"/>
      <c r="F13" s="3"/>
      <c r="G13" s="2"/>
      <c r="H13" s="2"/>
      <c r="I13" s="2"/>
      <c r="J13" s="2"/>
      <c r="K13" s="2"/>
      <c r="L13" s="2"/>
    </row>
    <row r="14" spans="1:16" ht="12.75">
      <c r="A14" s="42"/>
      <c r="B14" s="42"/>
      <c r="C14" s="42"/>
      <c r="D14" s="42"/>
      <c r="E14" s="31"/>
      <c r="F14" s="44"/>
      <c r="G14" s="43"/>
      <c r="H14" s="43"/>
      <c r="I14" s="43"/>
      <c r="J14" s="43"/>
      <c r="K14" s="43"/>
      <c r="L14" s="43"/>
      <c r="M14" s="26"/>
      <c r="N14" s="26"/>
      <c r="O14" s="26"/>
      <c r="P14" s="26"/>
    </row>
    <row r="15" spans="1:16" ht="12.75">
      <c r="A15" s="26"/>
      <c r="B15" s="26"/>
      <c r="C15" s="26"/>
      <c r="D15" s="26"/>
      <c r="E15" s="26"/>
      <c r="F15" s="130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2.75">
      <c r="A16" s="26"/>
      <c r="B16" s="26"/>
      <c r="C16" s="26"/>
      <c r="D16" s="26"/>
      <c r="E16" s="26"/>
      <c r="F16" s="130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130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130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130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2.75">
      <c r="A20" s="26"/>
      <c r="B20" s="26"/>
      <c r="C20" s="26"/>
      <c r="D20" s="26"/>
      <c r="E20" s="26"/>
      <c r="F20" s="130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2.75">
      <c r="A21" s="26"/>
      <c r="B21" s="26"/>
      <c r="C21" s="26"/>
      <c r="D21" s="26"/>
      <c r="E21" s="26"/>
      <c r="F21" s="130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130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130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130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130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130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130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130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130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26"/>
      <c r="B30" s="26"/>
      <c r="C30" s="26"/>
      <c r="D30" s="26"/>
      <c r="E30" s="26"/>
      <c r="F30" s="130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3" max="4" width="10.140625" style="0" bestFit="1" customWidth="1"/>
    <col min="5" max="5" width="17.8515625" style="0" bestFit="1" customWidth="1"/>
    <col min="6" max="6" width="41.7109375" style="60" customWidth="1"/>
    <col min="7" max="8" width="9.28125" style="0" bestFit="1" customWidth="1"/>
    <col min="9" max="9" width="10.28125" style="0" bestFit="1" customWidth="1"/>
    <col min="10" max="11" width="9.28125" style="0" bestFit="1" customWidth="1"/>
    <col min="12" max="12" width="10.28125" style="0" bestFit="1" customWidth="1"/>
  </cols>
  <sheetData>
    <row r="1" spans="1:12" ht="12.75">
      <c r="A1" s="1" t="s">
        <v>39</v>
      </c>
      <c r="B1" s="2"/>
      <c r="C1" s="2">
        <v>2079</v>
      </c>
      <c r="D1" s="2"/>
      <c r="E1" s="3"/>
      <c r="F1" s="19" t="s">
        <v>40</v>
      </c>
      <c r="G1" s="2"/>
      <c r="H1" s="2"/>
      <c r="I1" s="2"/>
      <c r="J1" s="2"/>
      <c r="K1" s="2"/>
      <c r="L1" s="2"/>
    </row>
    <row r="2" spans="1:12" ht="12.75">
      <c r="A2" s="2" t="s">
        <v>22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17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25.5">
      <c r="A9" s="46" t="s">
        <v>75</v>
      </c>
      <c r="B9" s="27">
        <v>37960</v>
      </c>
      <c r="C9" s="28">
        <v>37899</v>
      </c>
      <c r="D9" s="28">
        <v>37904</v>
      </c>
      <c r="E9" s="29" t="s">
        <v>124</v>
      </c>
      <c r="F9" s="52" t="s">
        <v>125</v>
      </c>
      <c r="G9" s="40">
        <v>587.16</v>
      </c>
      <c r="H9" s="40"/>
      <c r="I9" s="40">
        <v>423.74</v>
      </c>
      <c r="J9" s="40">
        <v>145.5</v>
      </c>
      <c r="K9" s="40">
        <v>159</v>
      </c>
      <c r="L9" s="24">
        <f>SUM(G9:K9)</f>
        <v>1315.4</v>
      </c>
    </row>
    <row r="10" spans="1:12" ht="12.75">
      <c r="A10" s="46" t="s">
        <v>59</v>
      </c>
      <c r="B10" s="100">
        <v>38154</v>
      </c>
      <c r="C10" s="30">
        <v>38157</v>
      </c>
      <c r="D10" s="30">
        <v>38162</v>
      </c>
      <c r="E10" s="31" t="s">
        <v>126</v>
      </c>
      <c r="F10" s="20" t="s">
        <v>67</v>
      </c>
      <c r="G10" s="40">
        <f>79.52+188.27</f>
        <v>267.79</v>
      </c>
      <c r="H10" s="40">
        <v>450.9</v>
      </c>
      <c r="I10" s="40">
        <v>599.2</v>
      </c>
      <c r="J10" s="40">
        <v>170.5</v>
      </c>
      <c r="K10" s="40">
        <f>465+30</f>
        <v>495</v>
      </c>
      <c r="L10" s="24">
        <f>SUM(G10:K10)</f>
        <v>1983.39</v>
      </c>
    </row>
    <row r="11" spans="1:12" ht="12.75">
      <c r="A11" s="2"/>
      <c r="B11" s="2"/>
      <c r="C11" s="2"/>
      <c r="D11" s="2"/>
      <c r="E11" s="3"/>
      <c r="F11" s="3"/>
      <c r="G11" s="25"/>
      <c r="H11" s="25"/>
      <c r="I11" s="25"/>
      <c r="J11" s="25"/>
      <c r="K11" s="25"/>
      <c r="L11" s="25"/>
    </row>
    <row r="12" spans="1:12" ht="12.75">
      <c r="A12" s="2"/>
      <c r="B12" s="2"/>
      <c r="C12" s="2"/>
      <c r="D12" s="2"/>
      <c r="E12" s="3"/>
      <c r="F12" s="19" t="s">
        <v>76</v>
      </c>
      <c r="G12" s="107">
        <f aca="true" t="shared" si="0" ref="G12:L12">SUM(G9:G10)</f>
        <v>854.95</v>
      </c>
      <c r="H12" s="107">
        <f t="shared" si="0"/>
        <v>450.9</v>
      </c>
      <c r="I12" s="107">
        <f t="shared" si="0"/>
        <v>1022.94</v>
      </c>
      <c r="J12" s="107">
        <f t="shared" si="0"/>
        <v>316</v>
      </c>
      <c r="K12" s="107">
        <f t="shared" si="0"/>
        <v>654</v>
      </c>
      <c r="L12" s="107">
        <f t="shared" si="0"/>
        <v>3298.79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0" bestFit="1" customWidth="1"/>
    <col min="2" max="2" width="9.8515625" style="0" bestFit="1" customWidth="1"/>
    <col min="3" max="4" width="11.00390625" style="0" bestFit="1" customWidth="1"/>
    <col min="5" max="5" width="19.8515625" style="0" bestFit="1" customWidth="1"/>
    <col min="6" max="6" width="43.28125" style="60" customWidth="1"/>
    <col min="7" max="11" width="9.57421875" style="0" bestFit="1" customWidth="1"/>
    <col min="12" max="12" width="11.140625" style="0" bestFit="1" customWidth="1"/>
  </cols>
  <sheetData>
    <row r="1" spans="1:12" ht="12.75">
      <c r="A1" s="1" t="s">
        <v>38</v>
      </c>
      <c r="B1" s="2"/>
      <c r="C1" s="2">
        <v>13664</v>
      </c>
      <c r="D1" s="2"/>
      <c r="E1" s="3"/>
      <c r="F1" s="19" t="s">
        <v>33</v>
      </c>
      <c r="G1" s="2"/>
      <c r="H1" s="2"/>
      <c r="I1" s="2"/>
      <c r="J1" s="2"/>
      <c r="K1" s="2"/>
      <c r="L1" s="2"/>
    </row>
    <row r="2" spans="1:12" ht="12.75">
      <c r="A2" s="2" t="s">
        <v>37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17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25.5">
      <c r="A9" s="47" t="s">
        <v>127</v>
      </c>
      <c r="B9" s="33">
        <v>37960</v>
      </c>
      <c r="C9" s="23">
        <v>37898</v>
      </c>
      <c r="D9" s="23">
        <v>37905</v>
      </c>
      <c r="E9" s="20" t="s">
        <v>58</v>
      </c>
      <c r="F9" s="87" t="s">
        <v>289</v>
      </c>
      <c r="G9" s="34">
        <v>62.16</v>
      </c>
      <c r="H9" s="34">
        <v>678</v>
      </c>
      <c r="I9" s="35">
        <v>587.67</v>
      </c>
      <c r="J9" s="34">
        <v>245</v>
      </c>
      <c r="K9" s="35">
        <v>305.35</v>
      </c>
      <c r="L9" s="24">
        <f>SUM(G9:K9)</f>
        <v>1878.1799999999998</v>
      </c>
    </row>
    <row r="10" spans="1:12" ht="25.5">
      <c r="A10" s="47"/>
      <c r="B10" s="51">
        <v>37635</v>
      </c>
      <c r="C10" s="23">
        <v>37943</v>
      </c>
      <c r="D10" s="23">
        <v>37947</v>
      </c>
      <c r="E10" s="20" t="s">
        <v>73</v>
      </c>
      <c r="F10" s="21" t="s">
        <v>128</v>
      </c>
      <c r="G10" s="34">
        <f>337.16+141.42</f>
        <v>478.58000000000004</v>
      </c>
      <c r="H10" s="34"/>
      <c r="I10" s="35">
        <v>288.12</v>
      </c>
      <c r="J10" s="34">
        <v>189</v>
      </c>
      <c r="K10" s="35">
        <v>575</v>
      </c>
      <c r="L10" s="24">
        <f>SUM(G10:K10)</f>
        <v>1530.7</v>
      </c>
    </row>
    <row r="11" spans="1:12" ht="12.75">
      <c r="A11" s="2"/>
      <c r="B11" s="2"/>
      <c r="C11" s="2"/>
      <c r="D11" s="2"/>
      <c r="E11" s="3"/>
      <c r="F11" s="3"/>
      <c r="G11" s="25"/>
      <c r="H11" s="25"/>
      <c r="I11" s="25"/>
      <c r="J11" s="25"/>
      <c r="K11" s="25"/>
      <c r="L11" s="25"/>
    </row>
    <row r="12" spans="1:12" ht="12.75">
      <c r="A12" s="2"/>
      <c r="B12" s="2"/>
      <c r="C12" s="2"/>
      <c r="D12" s="2"/>
      <c r="E12" s="3"/>
      <c r="F12" s="19" t="s">
        <v>76</v>
      </c>
      <c r="G12" s="107">
        <f aca="true" t="shared" si="0" ref="G12:L12">SUM(G9:G10)</f>
        <v>540.74</v>
      </c>
      <c r="H12" s="107">
        <f t="shared" si="0"/>
        <v>678</v>
      </c>
      <c r="I12" s="107">
        <f t="shared" si="0"/>
        <v>875.79</v>
      </c>
      <c r="J12" s="107">
        <f t="shared" si="0"/>
        <v>434</v>
      </c>
      <c r="K12" s="107">
        <f t="shared" si="0"/>
        <v>880.35</v>
      </c>
      <c r="L12" s="107">
        <f t="shared" si="0"/>
        <v>3408.88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3" max="4" width="10.140625" style="0" bestFit="1" customWidth="1"/>
    <col min="5" max="5" width="16.00390625" style="0" bestFit="1" customWidth="1"/>
    <col min="6" max="6" width="37.57421875" style="60" bestFit="1" customWidth="1"/>
    <col min="7" max="11" width="9.28125" style="0" bestFit="1" customWidth="1"/>
    <col min="12" max="12" width="10.28125" style="0" bestFit="1" customWidth="1"/>
  </cols>
  <sheetData>
    <row r="1" spans="1:12" ht="12.75">
      <c r="A1" s="1" t="s">
        <v>36</v>
      </c>
      <c r="B1" s="2"/>
      <c r="C1" s="2">
        <v>2463</v>
      </c>
      <c r="D1" s="2"/>
      <c r="E1" s="3"/>
      <c r="F1" s="19" t="s">
        <v>33</v>
      </c>
      <c r="G1" s="2"/>
      <c r="H1" s="2"/>
      <c r="I1" s="2"/>
      <c r="J1" s="2"/>
      <c r="K1" s="2"/>
      <c r="L1" s="2"/>
    </row>
    <row r="2" spans="1:12" ht="12.75">
      <c r="A2" s="2" t="s">
        <v>37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17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s="26" customFormat="1" ht="38.25">
      <c r="A9" s="46" t="s">
        <v>129</v>
      </c>
      <c r="B9" s="101">
        <v>37897</v>
      </c>
      <c r="C9" s="28">
        <v>37897</v>
      </c>
      <c r="D9" s="28">
        <v>37905</v>
      </c>
      <c r="E9" s="29" t="s">
        <v>58</v>
      </c>
      <c r="F9" s="87" t="s">
        <v>289</v>
      </c>
      <c r="G9" s="40">
        <v>62.16</v>
      </c>
      <c r="H9" s="40">
        <v>678</v>
      </c>
      <c r="I9" s="40">
        <v>508.84</v>
      </c>
      <c r="J9" s="40">
        <v>238</v>
      </c>
      <c r="K9" s="40">
        <v>34.5</v>
      </c>
      <c r="L9" s="40">
        <f>SUM(G9:K9)</f>
        <v>1521.5</v>
      </c>
    </row>
    <row r="10" spans="2:12" ht="12.75">
      <c r="B10" s="89"/>
      <c r="C10" s="30"/>
      <c r="D10" s="30"/>
      <c r="E10" s="31"/>
      <c r="F10" s="31"/>
      <c r="G10" s="41"/>
      <c r="H10" s="41"/>
      <c r="I10" s="41"/>
      <c r="J10" s="41"/>
      <c r="K10" s="41"/>
      <c r="L10" s="25"/>
    </row>
    <row r="11" spans="1:12" ht="12.75">
      <c r="A11" s="2"/>
      <c r="B11" s="2"/>
      <c r="C11" s="2"/>
      <c r="D11" s="2"/>
      <c r="E11" s="3"/>
      <c r="F11" s="19" t="s">
        <v>76</v>
      </c>
      <c r="G11" s="107">
        <f aca="true" t="shared" si="0" ref="G11:L11">SUM(G9:G10)</f>
        <v>62.16</v>
      </c>
      <c r="H11" s="107">
        <f t="shared" si="0"/>
        <v>678</v>
      </c>
      <c r="I11" s="107">
        <f t="shared" si="0"/>
        <v>508.84</v>
      </c>
      <c r="J11" s="107">
        <f t="shared" si="0"/>
        <v>238</v>
      </c>
      <c r="K11" s="107">
        <f t="shared" si="0"/>
        <v>34.5</v>
      </c>
      <c r="L11" s="107">
        <f t="shared" si="0"/>
        <v>1521.5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8515625" style="26" customWidth="1"/>
    <col min="2" max="2" width="11.28125" style="129" bestFit="1" customWidth="1"/>
    <col min="3" max="4" width="11.421875" style="130" bestFit="1" customWidth="1"/>
    <col min="5" max="5" width="26.421875" style="26" customWidth="1"/>
    <col min="6" max="6" width="38.57421875" style="130" bestFit="1" customWidth="1"/>
    <col min="7" max="7" width="10.421875" style="26" bestFit="1" customWidth="1"/>
    <col min="8" max="8" width="11.8515625" style="26" bestFit="1" customWidth="1"/>
    <col min="9" max="9" width="11.28125" style="26" bestFit="1" customWidth="1"/>
    <col min="10" max="10" width="12.00390625" style="26" bestFit="1" customWidth="1"/>
    <col min="11" max="11" width="11.57421875" style="26" bestFit="1" customWidth="1"/>
    <col min="12" max="12" width="12.7109375" style="26" bestFit="1" customWidth="1"/>
    <col min="13" max="13" width="9.421875" style="26" hidden="1" customWidth="1"/>
    <col min="14" max="16384" width="9.140625" style="26" customWidth="1"/>
  </cols>
  <sheetData>
    <row r="1" spans="1:12" ht="12.75">
      <c r="A1" s="61" t="s">
        <v>34</v>
      </c>
      <c r="B1" s="128"/>
      <c r="C1" s="31">
        <v>131</v>
      </c>
      <c r="D1" s="31"/>
      <c r="E1" s="31"/>
      <c r="F1" s="44"/>
      <c r="G1" s="42"/>
      <c r="H1" s="42"/>
      <c r="I1" s="42"/>
      <c r="J1" s="42"/>
      <c r="K1" s="42"/>
      <c r="L1" s="42"/>
    </row>
    <row r="2" spans="1:12" ht="12.75">
      <c r="A2" s="42" t="s">
        <v>35</v>
      </c>
      <c r="B2" s="128"/>
      <c r="C2" s="31"/>
      <c r="D2" s="31"/>
      <c r="E2" s="31"/>
      <c r="F2" s="31"/>
      <c r="G2" s="42"/>
      <c r="H2" s="42"/>
      <c r="I2" s="42"/>
      <c r="J2" s="42"/>
      <c r="K2" s="42"/>
      <c r="L2" s="42"/>
    </row>
    <row r="3" spans="1:12" ht="12.75">
      <c r="A3" s="42" t="s">
        <v>1</v>
      </c>
      <c r="B3" s="128"/>
      <c r="C3" s="31"/>
      <c r="D3" s="31"/>
      <c r="E3" s="31"/>
      <c r="F3" s="31"/>
      <c r="G3" s="42"/>
      <c r="H3" s="42"/>
      <c r="I3" s="42"/>
      <c r="J3" s="42"/>
      <c r="K3" s="42"/>
      <c r="L3" s="42"/>
    </row>
    <row r="4" spans="1:12" ht="12.75">
      <c r="A4" s="42" t="s">
        <v>56</v>
      </c>
      <c r="B4" s="128"/>
      <c r="C4" s="31"/>
      <c r="D4" s="31"/>
      <c r="E4" s="31"/>
      <c r="F4" s="31"/>
      <c r="G4" s="42"/>
      <c r="H4" s="42"/>
      <c r="I4" s="42"/>
      <c r="J4" s="42"/>
      <c r="K4" s="42"/>
      <c r="L4" s="42"/>
    </row>
    <row r="5" spans="1:12" ht="12.75">
      <c r="A5" s="42"/>
      <c r="B5" s="128"/>
      <c r="C5" s="31"/>
      <c r="D5" s="31"/>
      <c r="E5" s="31"/>
      <c r="F5" s="31"/>
      <c r="G5" s="42"/>
      <c r="H5" s="42"/>
      <c r="I5" s="42"/>
      <c r="J5" s="42"/>
      <c r="K5" s="42"/>
      <c r="L5" s="42"/>
    </row>
    <row r="6" spans="1:12" ht="13.5" thickBot="1">
      <c r="A6" s="42"/>
      <c r="B6" s="128"/>
      <c r="C6" s="31"/>
      <c r="D6" s="31"/>
      <c r="E6" s="31"/>
      <c r="F6" s="31"/>
      <c r="G6" s="42"/>
      <c r="H6" s="42"/>
      <c r="I6" s="42"/>
      <c r="J6" s="42"/>
      <c r="K6" s="42"/>
      <c r="L6" s="42"/>
    </row>
    <row r="7" spans="1:12" ht="12.75">
      <c r="A7" s="62" t="s">
        <v>17</v>
      </c>
      <c r="B7" s="63" t="s">
        <v>2</v>
      </c>
      <c r="C7" s="131" t="s">
        <v>3</v>
      </c>
      <c r="D7" s="131"/>
      <c r="E7" s="65" t="s">
        <v>4</v>
      </c>
      <c r="F7" s="66" t="s">
        <v>5</v>
      </c>
      <c r="G7" s="65" t="s">
        <v>6</v>
      </c>
      <c r="H7" s="66" t="s">
        <v>7</v>
      </c>
      <c r="I7" s="67" t="s">
        <v>8</v>
      </c>
      <c r="J7" s="64" t="s">
        <v>9</v>
      </c>
      <c r="K7" s="67" t="s">
        <v>10</v>
      </c>
      <c r="L7" s="67" t="s">
        <v>11</v>
      </c>
    </row>
    <row r="8" spans="1:12" ht="13.5" thickBot="1">
      <c r="A8" s="68" t="s">
        <v>12</v>
      </c>
      <c r="B8" s="69" t="s">
        <v>13</v>
      </c>
      <c r="C8" s="75" t="s">
        <v>13</v>
      </c>
      <c r="D8" s="75"/>
      <c r="E8" s="71"/>
      <c r="F8" s="72"/>
      <c r="G8" s="71" t="s">
        <v>14</v>
      </c>
      <c r="H8" s="73"/>
      <c r="I8" s="74"/>
      <c r="J8" s="75" t="s">
        <v>15</v>
      </c>
      <c r="K8" s="76"/>
      <c r="L8" s="76"/>
    </row>
    <row r="9" spans="1:13" ht="25.5">
      <c r="A9" s="26" t="s">
        <v>173</v>
      </c>
      <c r="B9" s="51">
        <v>38009</v>
      </c>
      <c r="C9" s="53">
        <v>37634</v>
      </c>
      <c r="D9" s="53">
        <v>37635</v>
      </c>
      <c r="E9" s="29" t="s">
        <v>174</v>
      </c>
      <c r="F9" s="52" t="s">
        <v>175</v>
      </c>
      <c r="G9" s="80"/>
      <c r="H9" s="81"/>
      <c r="I9" s="81">
        <v>87.3</v>
      </c>
      <c r="J9" s="80">
        <v>45</v>
      </c>
      <c r="K9" s="81"/>
      <c r="L9" s="81">
        <f aca="true" t="shared" si="0" ref="L9:L37">SUM(G9:K9)</f>
        <v>132.3</v>
      </c>
      <c r="M9" s="26" t="s">
        <v>242</v>
      </c>
    </row>
    <row r="10" spans="1:13" ht="25.5">
      <c r="A10" s="26" t="s">
        <v>167</v>
      </c>
      <c r="B10" s="51">
        <v>37911</v>
      </c>
      <c r="C10" s="53">
        <v>37775</v>
      </c>
      <c r="D10" s="53">
        <v>37776</v>
      </c>
      <c r="E10" s="29" t="s">
        <v>63</v>
      </c>
      <c r="F10" s="52" t="s">
        <v>168</v>
      </c>
      <c r="G10" s="80"/>
      <c r="H10" s="81">
        <v>246.02</v>
      </c>
      <c r="I10" s="81">
        <v>171.75</v>
      </c>
      <c r="J10" s="80">
        <v>62.5</v>
      </c>
      <c r="K10" s="80">
        <f>32+92.63</f>
        <v>124.63</v>
      </c>
      <c r="L10" s="81">
        <f t="shared" si="0"/>
        <v>604.9</v>
      </c>
      <c r="M10" s="26" t="s">
        <v>241</v>
      </c>
    </row>
    <row r="11" spans="1:13" ht="12.75">
      <c r="A11" s="104" t="s">
        <v>260</v>
      </c>
      <c r="B11" s="51">
        <v>37904</v>
      </c>
      <c r="C11" s="53">
        <v>37791</v>
      </c>
      <c r="D11" s="53">
        <v>37792</v>
      </c>
      <c r="E11" s="29" t="s">
        <v>261</v>
      </c>
      <c r="F11" s="52" t="s">
        <v>262</v>
      </c>
      <c r="G11" s="80"/>
      <c r="H11" s="81">
        <v>408.52</v>
      </c>
      <c r="I11" s="81">
        <v>261.06</v>
      </c>
      <c r="J11" s="80">
        <v>76</v>
      </c>
      <c r="K11" s="80">
        <f>16.02</f>
        <v>16.02</v>
      </c>
      <c r="L11" s="81">
        <f t="shared" si="0"/>
        <v>761.5999999999999</v>
      </c>
      <c r="M11" s="122">
        <v>1</v>
      </c>
    </row>
    <row r="12" spans="1:13" ht="25.5">
      <c r="A12" s="104" t="s">
        <v>264</v>
      </c>
      <c r="B12" s="51">
        <v>37911</v>
      </c>
      <c r="C12" s="53">
        <v>37814</v>
      </c>
      <c r="D12" s="53">
        <v>37815</v>
      </c>
      <c r="E12" s="29" t="s">
        <v>263</v>
      </c>
      <c r="F12" s="52" t="s">
        <v>265</v>
      </c>
      <c r="G12" s="80"/>
      <c r="H12" s="81"/>
      <c r="I12" s="81">
        <v>132.22</v>
      </c>
      <c r="J12" s="80">
        <v>53</v>
      </c>
      <c r="K12" s="80"/>
      <c r="L12" s="81">
        <f t="shared" si="0"/>
        <v>185.22</v>
      </c>
      <c r="M12" s="122">
        <v>2</v>
      </c>
    </row>
    <row r="13" spans="1:13" ht="12.75">
      <c r="A13" s="104" t="s">
        <v>183</v>
      </c>
      <c r="B13" s="51">
        <v>37911</v>
      </c>
      <c r="C13" s="53">
        <v>37811</v>
      </c>
      <c r="D13" s="53">
        <v>37812</v>
      </c>
      <c r="E13" s="29" t="s">
        <v>181</v>
      </c>
      <c r="F13" s="52" t="s">
        <v>182</v>
      </c>
      <c r="G13" s="80"/>
      <c r="H13" s="81"/>
      <c r="I13" s="81">
        <v>177</v>
      </c>
      <c r="J13" s="80">
        <v>34</v>
      </c>
      <c r="K13" s="81">
        <v>52.9</v>
      </c>
      <c r="L13" s="81">
        <f t="shared" si="0"/>
        <v>263.9</v>
      </c>
      <c r="M13" s="26" t="s">
        <v>242</v>
      </c>
    </row>
    <row r="14" spans="1:13" ht="12.75">
      <c r="A14" s="46" t="s">
        <v>169</v>
      </c>
      <c r="B14" s="51">
        <v>37904</v>
      </c>
      <c r="C14" s="53">
        <v>37857</v>
      </c>
      <c r="D14" s="53">
        <v>37857</v>
      </c>
      <c r="E14" s="29" t="s">
        <v>170</v>
      </c>
      <c r="F14" s="52" t="s">
        <v>171</v>
      </c>
      <c r="G14" s="80"/>
      <c r="H14" s="80">
        <v>501.5</v>
      </c>
      <c r="I14" s="81"/>
      <c r="J14" s="80">
        <v>28.5</v>
      </c>
      <c r="K14" s="80">
        <v>70.31</v>
      </c>
      <c r="L14" s="81">
        <f t="shared" si="0"/>
        <v>600.31</v>
      </c>
      <c r="M14" s="26" t="s">
        <v>240</v>
      </c>
    </row>
    <row r="15" spans="1:13" ht="51">
      <c r="A15" s="104" t="s">
        <v>201</v>
      </c>
      <c r="B15" s="51">
        <v>37918</v>
      </c>
      <c r="C15" s="53">
        <v>37895</v>
      </c>
      <c r="D15" s="53">
        <v>37902</v>
      </c>
      <c r="E15" s="52" t="s">
        <v>202</v>
      </c>
      <c r="F15" s="52" t="s">
        <v>172</v>
      </c>
      <c r="G15" s="80">
        <v>181.46</v>
      </c>
      <c r="H15" s="80">
        <v>787</v>
      </c>
      <c r="I15" s="81">
        <v>143.58</v>
      </c>
      <c r="J15" s="80">
        <v>273.5</v>
      </c>
      <c r="K15" s="81">
        <f>176+70.69</f>
        <v>246.69</v>
      </c>
      <c r="L15" s="81">
        <f t="shared" si="0"/>
        <v>1632.23</v>
      </c>
      <c r="M15" s="104" t="s">
        <v>243</v>
      </c>
    </row>
    <row r="16" spans="1:13" ht="25.5">
      <c r="A16" s="26" t="s">
        <v>178</v>
      </c>
      <c r="B16" s="51">
        <v>38009</v>
      </c>
      <c r="C16" s="53">
        <v>37936</v>
      </c>
      <c r="D16" s="53">
        <v>37937</v>
      </c>
      <c r="E16" s="29" t="s">
        <v>63</v>
      </c>
      <c r="F16" s="52" t="s">
        <v>179</v>
      </c>
      <c r="G16" s="80"/>
      <c r="H16" s="81"/>
      <c r="I16" s="81">
        <v>159.15</v>
      </c>
      <c r="J16" s="80">
        <v>76.5</v>
      </c>
      <c r="K16" s="81">
        <v>15</v>
      </c>
      <c r="L16" s="81">
        <f t="shared" si="0"/>
        <v>250.65</v>
      </c>
      <c r="M16" s="104" t="s">
        <v>245</v>
      </c>
    </row>
    <row r="17" spans="1:13" ht="25.5">
      <c r="A17" s="26" t="s">
        <v>200</v>
      </c>
      <c r="B17" s="51">
        <v>38009</v>
      </c>
      <c r="C17" s="53">
        <v>37940</v>
      </c>
      <c r="D17" s="53">
        <v>37942</v>
      </c>
      <c r="E17" s="52" t="s">
        <v>176</v>
      </c>
      <c r="F17" s="52" t="s">
        <v>177</v>
      </c>
      <c r="G17" s="80">
        <v>37</v>
      </c>
      <c r="H17" s="81">
        <v>745.5</v>
      </c>
      <c r="I17" s="81">
        <v>158.77</v>
      </c>
      <c r="J17" s="80">
        <v>119</v>
      </c>
      <c r="K17" s="81">
        <f>5</f>
        <v>5</v>
      </c>
      <c r="L17" s="81">
        <f t="shared" si="0"/>
        <v>1065.27</v>
      </c>
      <c r="M17" s="26" t="s">
        <v>244</v>
      </c>
    </row>
    <row r="18" spans="1:13" ht="51">
      <c r="A18" s="26" t="s">
        <v>199</v>
      </c>
      <c r="B18" s="51">
        <v>38016</v>
      </c>
      <c r="C18" s="53">
        <v>37958</v>
      </c>
      <c r="D18" s="53">
        <v>37959</v>
      </c>
      <c r="E18" s="52" t="s">
        <v>180</v>
      </c>
      <c r="F18" s="52" t="s">
        <v>185</v>
      </c>
      <c r="G18" s="80"/>
      <c r="H18" s="81">
        <v>561.4</v>
      </c>
      <c r="I18" s="81">
        <v>181.53</v>
      </c>
      <c r="J18" s="80">
        <v>72</v>
      </c>
      <c r="K18" s="81">
        <f>97.6+15</f>
        <v>112.6</v>
      </c>
      <c r="L18" s="81">
        <f t="shared" si="0"/>
        <v>927.53</v>
      </c>
      <c r="M18" s="26" t="s">
        <v>258</v>
      </c>
    </row>
    <row r="19" spans="1:13" ht="25.5">
      <c r="A19" s="26" t="s">
        <v>187</v>
      </c>
      <c r="B19" s="51">
        <v>38072</v>
      </c>
      <c r="C19" s="53">
        <v>38014</v>
      </c>
      <c r="D19" s="53">
        <v>38016</v>
      </c>
      <c r="E19" s="29" t="s">
        <v>186</v>
      </c>
      <c r="F19" s="52" t="s">
        <v>188</v>
      </c>
      <c r="G19" s="80">
        <v>99.48</v>
      </c>
      <c r="H19" s="80">
        <v>795.4</v>
      </c>
      <c r="I19" s="81">
        <v>118.62</v>
      </c>
      <c r="J19" s="80">
        <v>85</v>
      </c>
      <c r="K19" s="81">
        <f>90.18</f>
        <v>90.18</v>
      </c>
      <c r="L19" s="81">
        <f t="shared" si="0"/>
        <v>1188.68</v>
      </c>
      <c r="M19" s="26" t="s">
        <v>247</v>
      </c>
    </row>
    <row r="20" spans="1:13" ht="25.5">
      <c r="A20" s="26" t="s">
        <v>189</v>
      </c>
      <c r="B20" s="51">
        <v>38072</v>
      </c>
      <c r="C20" s="53">
        <v>38027</v>
      </c>
      <c r="D20" s="53">
        <v>38028</v>
      </c>
      <c r="E20" s="29" t="s">
        <v>70</v>
      </c>
      <c r="F20" s="52" t="s">
        <v>190</v>
      </c>
      <c r="G20" s="80"/>
      <c r="H20" s="81"/>
      <c r="I20" s="81">
        <v>73.95</v>
      </c>
      <c r="J20" s="80">
        <v>46.5</v>
      </c>
      <c r="K20" s="81">
        <v>3.25</v>
      </c>
      <c r="L20" s="81">
        <f t="shared" si="0"/>
        <v>123.7</v>
      </c>
      <c r="M20" s="26" t="s">
        <v>248</v>
      </c>
    </row>
    <row r="21" spans="1:13" ht="63.75">
      <c r="A21" s="26" t="s">
        <v>198</v>
      </c>
      <c r="B21" s="51">
        <v>38072</v>
      </c>
      <c r="C21" s="53">
        <v>38036</v>
      </c>
      <c r="D21" s="53">
        <v>38039</v>
      </c>
      <c r="E21" s="52" t="s">
        <v>191</v>
      </c>
      <c r="F21" s="52" t="s">
        <v>192</v>
      </c>
      <c r="G21" s="80"/>
      <c r="H21" s="80">
        <v>434.5</v>
      </c>
      <c r="I21" s="81">
        <v>260.7</v>
      </c>
      <c r="J21" s="80">
        <v>172</v>
      </c>
      <c r="K21" s="81">
        <v>47.72</v>
      </c>
      <c r="L21" s="81">
        <f t="shared" si="0"/>
        <v>914.9200000000001</v>
      </c>
      <c r="M21" s="26" t="s">
        <v>249</v>
      </c>
    </row>
    <row r="22" spans="1:13" ht="38.25">
      <c r="A22" s="26" t="s">
        <v>79</v>
      </c>
      <c r="B22" s="51">
        <v>38065</v>
      </c>
      <c r="C22" s="53">
        <v>38041</v>
      </c>
      <c r="D22" s="53">
        <v>38044</v>
      </c>
      <c r="E22" s="29" t="s">
        <v>63</v>
      </c>
      <c r="F22" s="52" t="s">
        <v>184</v>
      </c>
      <c r="G22" s="80"/>
      <c r="H22" s="81">
        <v>247.9</v>
      </c>
      <c r="I22" s="81">
        <v>435.1</v>
      </c>
      <c r="J22" s="80">
        <v>162.5</v>
      </c>
      <c r="K22" s="81">
        <f>51+274.63</f>
        <v>325.63</v>
      </c>
      <c r="L22" s="81">
        <f t="shared" si="0"/>
        <v>1171.13</v>
      </c>
      <c r="M22" s="26" t="s">
        <v>246</v>
      </c>
    </row>
    <row r="23" spans="1:13" ht="38.25">
      <c r="A23" s="26" t="s">
        <v>205</v>
      </c>
      <c r="B23" s="51">
        <v>38184</v>
      </c>
      <c r="C23" s="53">
        <v>38077</v>
      </c>
      <c r="D23" s="53">
        <v>38079</v>
      </c>
      <c r="E23" s="29" t="s">
        <v>63</v>
      </c>
      <c r="F23" s="52" t="s">
        <v>206</v>
      </c>
      <c r="G23" s="80"/>
      <c r="H23" s="81">
        <v>247.91</v>
      </c>
      <c r="I23" s="81">
        <v>300</v>
      </c>
      <c r="J23" s="80">
        <v>125</v>
      </c>
      <c r="K23" s="81">
        <f>60+12.08</f>
        <v>72.08</v>
      </c>
      <c r="L23" s="81">
        <f t="shared" si="0"/>
        <v>744.99</v>
      </c>
      <c r="M23" s="26" t="s">
        <v>259</v>
      </c>
    </row>
    <row r="24" spans="1:13" ht="25.5">
      <c r="A24" s="26" t="s">
        <v>207</v>
      </c>
      <c r="B24" s="51">
        <v>38184</v>
      </c>
      <c r="C24" s="53">
        <v>38081</v>
      </c>
      <c r="D24" s="53">
        <v>38083</v>
      </c>
      <c r="E24" s="29" t="s">
        <v>208</v>
      </c>
      <c r="F24" s="52" t="s">
        <v>209</v>
      </c>
      <c r="G24" s="80"/>
      <c r="H24" s="80">
        <v>216.39</v>
      </c>
      <c r="I24" s="81">
        <v>131.66</v>
      </c>
      <c r="J24" s="80">
        <v>105</v>
      </c>
      <c r="K24" s="81">
        <f>18.2+15.58</f>
        <v>33.78</v>
      </c>
      <c r="L24" s="81">
        <f t="shared" si="0"/>
        <v>486.8299999999999</v>
      </c>
      <c r="M24" s="26" t="s">
        <v>253</v>
      </c>
    </row>
    <row r="25" spans="1:13" ht="38.25">
      <c r="A25" s="26" t="s">
        <v>193</v>
      </c>
      <c r="B25" s="51">
        <v>38114</v>
      </c>
      <c r="C25" s="53">
        <v>38089</v>
      </c>
      <c r="D25" s="53">
        <v>38090</v>
      </c>
      <c r="E25" s="52" t="s">
        <v>70</v>
      </c>
      <c r="F25" s="52" t="s">
        <v>194</v>
      </c>
      <c r="G25" s="80"/>
      <c r="H25" s="80"/>
      <c r="I25" s="81">
        <v>73.95</v>
      </c>
      <c r="J25" s="80">
        <v>46.5</v>
      </c>
      <c r="K25" s="81"/>
      <c r="L25" s="81">
        <f t="shared" si="0"/>
        <v>120.45</v>
      </c>
      <c r="M25" s="26" t="s">
        <v>250</v>
      </c>
    </row>
    <row r="26" spans="1:13" ht="51">
      <c r="A26" s="26" t="s">
        <v>197</v>
      </c>
      <c r="B26" s="51">
        <v>38184</v>
      </c>
      <c r="C26" s="53">
        <v>38103</v>
      </c>
      <c r="D26" s="53">
        <v>38107</v>
      </c>
      <c r="E26" s="52" t="s">
        <v>203</v>
      </c>
      <c r="F26" s="52" t="s">
        <v>204</v>
      </c>
      <c r="G26" s="80">
        <v>98.99</v>
      </c>
      <c r="H26" s="81">
        <v>538.59</v>
      </c>
      <c r="I26" s="81">
        <v>648.89</v>
      </c>
      <c r="J26" s="80">
        <v>238</v>
      </c>
      <c r="K26" s="81">
        <f>62+324.41</f>
        <v>386.41</v>
      </c>
      <c r="L26" s="81">
        <f t="shared" si="0"/>
        <v>1910.88</v>
      </c>
      <c r="M26" s="26" t="s">
        <v>252</v>
      </c>
    </row>
    <row r="27" spans="1:13" ht="25.5">
      <c r="A27" s="50" t="s">
        <v>195</v>
      </c>
      <c r="B27" s="51">
        <v>38184</v>
      </c>
      <c r="C27" s="53">
        <v>38109</v>
      </c>
      <c r="D27" s="53">
        <v>38110</v>
      </c>
      <c r="E27" s="29" t="s">
        <v>196</v>
      </c>
      <c r="F27" s="52" t="s">
        <v>291</v>
      </c>
      <c r="G27" s="80"/>
      <c r="H27" s="81">
        <v>960</v>
      </c>
      <c r="I27" s="81">
        <v>72.36</v>
      </c>
      <c r="J27" s="80">
        <v>76</v>
      </c>
      <c r="K27" s="81">
        <v>36.75</v>
      </c>
      <c r="L27" s="81">
        <f t="shared" si="0"/>
        <v>1145.11</v>
      </c>
      <c r="M27" s="26" t="s">
        <v>251</v>
      </c>
    </row>
    <row r="28" spans="1:13" ht="25.5">
      <c r="A28" s="26" t="s">
        <v>216</v>
      </c>
      <c r="B28" s="51">
        <v>38191</v>
      </c>
      <c r="C28" s="53" t="s">
        <v>215</v>
      </c>
      <c r="D28" s="53">
        <v>38126</v>
      </c>
      <c r="E28" s="29" t="s">
        <v>63</v>
      </c>
      <c r="F28" s="52" t="s">
        <v>217</v>
      </c>
      <c r="G28" s="80"/>
      <c r="H28" s="80">
        <v>262.4</v>
      </c>
      <c r="I28" s="81">
        <v>186.48</v>
      </c>
      <c r="J28" s="80">
        <v>76.5</v>
      </c>
      <c r="K28" s="81">
        <f>10.3+58.75</f>
        <v>69.05</v>
      </c>
      <c r="L28" s="81">
        <f t="shared" si="0"/>
        <v>594.43</v>
      </c>
      <c r="M28" s="26" t="s">
        <v>256</v>
      </c>
    </row>
    <row r="29" spans="1:13" ht="12.75">
      <c r="A29" s="26" t="s">
        <v>210</v>
      </c>
      <c r="B29" s="51">
        <v>38191</v>
      </c>
      <c r="C29" s="53">
        <v>38140</v>
      </c>
      <c r="D29" s="53">
        <v>38141</v>
      </c>
      <c r="E29" s="29" t="s">
        <v>70</v>
      </c>
      <c r="F29" s="52" t="s">
        <v>211</v>
      </c>
      <c r="G29" s="80"/>
      <c r="H29" s="80"/>
      <c r="I29" s="81">
        <v>175.13</v>
      </c>
      <c r="J29" s="80">
        <v>86</v>
      </c>
      <c r="K29" s="81">
        <v>31</v>
      </c>
      <c r="L29" s="81">
        <f t="shared" si="0"/>
        <v>292.13</v>
      </c>
      <c r="M29" s="26" t="s">
        <v>254</v>
      </c>
    </row>
    <row r="30" spans="1:13" ht="25.5">
      <c r="A30" s="26" t="s">
        <v>212</v>
      </c>
      <c r="B30" s="51">
        <v>38191</v>
      </c>
      <c r="C30" s="53">
        <v>38159</v>
      </c>
      <c r="D30" s="53">
        <v>38160</v>
      </c>
      <c r="E30" s="29" t="s">
        <v>213</v>
      </c>
      <c r="F30" s="52" t="s">
        <v>214</v>
      </c>
      <c r="G30" s="80">
        <v>55.58</v>
      </c>
      <c r="H30" s="81">
        <v>313.41</v>
      </c>
      <c r="I30" s="81">
        <v>71.74</v>
      </c>
      <c r="J30" s="80">
        <v>102</v>
      </c>
      <c r="K30" s="81">
        <f>70.58</f>
        <v>70.58</v>
      </c>
      <c r="L30" s="81">
        <f t="shared" si="0"/>
        <v>613.3100000000001</v>
      </c>
      <c r="M30" s="26" t="s">
        <v>255</v>
      </c>
    </row>
    <row r="31" spans="1:14" ht="12.75">
      <c r="A31" s="26" t="s">
        <v>219</v>
      </c>
      <c r="B31" s="51">
        <v>38254</v>
      </c>
      <c r="C31" s="53">
        <v>38164</v>
      </c>
      <c r="D31" s="53">
        <v>38166</v>
      </c>
      <c r="E31" s="29" t="s">
        <v>218</v>
      </c>
      <c r="F31" s="52" t="s">
        <v>171</v>
      </c>
      <c r="G31" s="80">
        <v>36.98</v>
      </c>
      <c r="H31" s="81">
        <v>853.49</v>
      </c>
      <c r="I31" s="81">
        <v>234.06</v>
      </c>
      <c r="J31" s="80">
        <v>89.25</v>
      </c>
      <c r="K31" s="81">
        <v>13.08</v>
      </c>
      <c r="L31" s="80">
        <f t="shared" si="0"/>
        <v>1226.86</v>
      </c>
      <c r="M31" s="121" t="s">
        <v>257</v>
      </c>
      <c r="N31" s="105"/>
    </row>
    <row r="32" spans="1:14" ht="12.75">
      <c r="A32" s="26" t="s">
        <v>233</v>
      </c>
      <c r="B32" s="55">
        <v>38275</v>
      </c>
      <c r="C32" s="30">
        <v>38182</v>
      </c>
      <c r="D32" s="30">
        <v>38183</v>
      </c>
      <c r="E32" s="31" t="s">
        <v>225</v>
      </c>
      <c r="F32" s="31" t="s">
        <v>226</v>
      </c>
      <c r="G32" s="109"/>
      <c r="H32" s="109"/>
      <c r="I32" s="109">
        <v>119.84</v>
      </c>
      <c r="J32" s="109">
        <v>75.25</v>
      </c>
      <c r="K32" s="109"/>
      <c r="L32" s="80">
        <f t="shared" si="0"/>
        <v>195.09</v>
      </c>
      <c r="M32" s="122">
        <v>1</v>
      </c>
      <c r="N32" s="105"/>
    </row>
    <row r="33" spans="1:14" ht="12.75">
      <c r="A33" s="26" t="s">
        <v>234</v>
      </c>
      <c r="B33" s="55">
        <v>38275</v>
      </c>
      <c r="C33" s="30">
        <v>36731</v>
      </c>
      <c r="D33" s="30">
        <v>38190</v>
      </c>
      <c r="E33" s="31" t="s">
        <v>223</v>
      </c>
      <c r="F33" s="31" t="s">
        <v>224</v>
      </c>
      <c r="G33" s="109"/>
      <c r="H33" s="109"/>
      <c r="I33" s="109">
        <v>73.95</v>
      </c>
      <c r="J33" s="109">
        <v>46.5</v>
      </c>
      <c r="K33" s="109"/>
      <c r="L33" s="80">
        <f t="shared" si="0"/>
        <v>120.45</v>
      </c>
      <c r="M33" s="122">
        <v>2</v>
      </c>
      <c r="N33" s="105"/>
    </row>
    <row r="34" spans="1:14" s="110" customFormat="1" ht="37.5" customHeight="1">
      <c r="A34" s="110" t="s">
        <v>235</v>
      </c>
      <c r="B34" s="133">
        <v>38275</v>
      </c>
      <c r="C34" s="132">
        <v>38203</v>
      </c>
      <c r="D34" s="132">
        <v>38205</v>
      </c>
      <c r="E34" s="98" t="s">
        <v>227</v>
      </c>
      <c r="F34" s="98" t="s">
        <v>228</v>
      </c>
      <c r="G34" s="111"/>
      <c r="H34" s="111">
        <v>465.12</v>
      </c>
      <c r="I34" s="111">
        <v>345.4</v>
      </c>
      <c r="J34" s="111">
        <v>127.5</v>
      </c>
      <c r="K34" s="111">
        <f>48+47.58</f>
        <v>95.58</v>
      </c>
      <c r="L34" s="112">
        <f t="shared" si="0"/>
        <v>1033.6</v>
      </c>
      <c r="M34" s="123">
        <v>3</v>
      </c>
      <c r="N34" s="113"/>
    </row>
    <row r="35" spans="1:14" ht="15" customHeight="1">
      <c r="A35" s="26" t="s">
        <v>237</v>
      </c>
      <c r="B35" s="55">
        <v>38275</v>
      </c>
      <c r="C35" s="30">
        <v>38211</v>
      </c>
      <c r="D35" s="30">
        <v>38214</v>
      </c>
      <c r="E35" s="31" t="s">
        <v>229</v>
      </c>
      <c r="F35" s="98" t="s">
        <v>230</v>
      </c>
      <c r="G35" s="109"/>
      <c r="H35" s="109"/>
      <c r="I35" s="109"/>
      <c r="J35" s="109">
        <v>178.5</v>
      </c>
      <c r="K35" s="109">
        <v>188.67</v>
      </c>
      <c r="L35" s="80">
        <f t="shared" si="0"/>
        <v>367.16999999999996</v>
      </c>
      <c r="M35" s="122">
        <v>4</v>
      </c>
      <c r="N35" s="105"/>
    </row>
    <row r="36" spans="1:14" ht="25.5">
      <c r="A36" s="26" t="s">
        <v>236</v>
      </c>
      <c r="B36" s="55">
        <v>38275</v>
      </c>
      <c r="C36" s="30">
        <v>38242</v>
      </c>
      <c r="D36" s="30">
        <v>38246</v>
      </c>
      <c r="E36" s="31" t="s">
        <v>227</v>
      </c>
      <c r="F36" s="98" t="s">
        <v>231</v>
      </c>
      <c r="G36" s="109"/>
      <c r="H36" s="109">
        <v>256.92</v>
      </c>
      <c r="I36" s="109">
        <v>755.7</v>
      </c>
      <c r="J36" s="109">
        <v>229.5</v>
      </c>
      <c r="K36" s="109">
        <v>435.7</v>
      </c>
      <c r="L36" s="80">
        <f t="shared" si="0"/>
        <v>1677.8200000000002</v>
      </c>
      <c r="M36" s="122">
        <v>5</v>
      </c>
      <c r="N36" s="105"/>
    </row>
    <row r="37" spans="1:14" ht="12.75">
      <c r="A37" s="26" t="s">
        <v>238</v>
      </c>
      <c r="B37" s="55">
        <v>38378</v>
      </c>
      <c r="C37" s="120">
        <v>38246</v>
      </c>
      <c r="D37" s="120">
        <v>38255</v>
      </c>
      <c r="E37" s="31" t="s">
        <v>227</v>
      </c>
      <c r="F37" s="31" t="s">
        <v>232</v>
      </c>
      <c r="G37" s="109">
        <f>146.8+146.8</f>
        <v>293.6</v>
      </c>
      <c r="H37" s="114">
        <v>257.9</v>
      </c>
      <c r="I37" s="114">
        <f>761.42+761.43</f>
        <v>1522.85</v>
      </c>
      <c r="J37" s="114">
        <f>331.5+122.5+122.5</f>
        <v>576.5</v>
      </c>
      <c r="K37" s="114">
        <f>20.87+20.87+22.63+22.63</f>
        <v>87</v>
      </c>
      <c r="L37" s="80">
        <f t="shared" si="0"/>
        <v>2737.85</v>
      </c>
      <c r="M37" s="122">
        <v>6</v>
      </c>
      <c r="N37" s="105"/>
    </row>
    <row r="38" spans="1:12" ht="12.75">
      <c r="A38" s="42"/>
      <c r="B38" s="128"/>
      <c r="C38" s="31"/>
      <c r="D38" s="31"/>
      <c r="E38" s="31"/>
      <c r="F38" s="31"/>
      <c r="G38" s="58"/>
      <c r="H38" s="58"/>
      <c r="I38" s="58"/>
      <c r="J38" s="58"/>
      <c r="K38" s="58"/>
      <c r="L38" s="58"/>
    </row>
    <row r="39" spans="1:12" ht="12.75">
      <c r="A39" s="42"/>
      <c r="B39" s="128"/>
      <c r="C39" s="31"/>
      <c r="D39" s="31"/>
      <c r="E39" s="31"/>
      <c r="F39" s="44" t="s">
        <v>76</v>
      </c>
      <c r="G39" s="106">
        <f aca="true" t="shared" si="1" ref="G39:L39">SUM(G9:G37)</f>
        <v>803.09</v>
      </c>
      <c r="H39" s="106">
        <f t="shared" si="1"/>
        <v>9099.869999999999</v>
      </c>
      <c r="I39" s="106">
        <f t="shared" si="1"/>
        <v>7072.74</v>
      </c>
      <c r="J39" s="106">
        <f t="shared" si="1"/>
        <v>3484</v>
      </c>
      <c r="K39" s="106">
        <f t="shared" si="1"/>
        <v>2629.609999999999</v>
      </c>
      <c r="L39" s="106">
        <f t="shared" si="1"/>
        <v>23089.309999999998</v>
      </c>
    </row>
    <row r="40" spans="7:12" ht="12.75">
      <c r="G40" s="82"/>
      <c r="H40" s="82"/>
      <c r="I40" s="82"/>
      <c r="J40" s="82"/>
      <c r="K40" s="82"/>
      <c r="L40" s="82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4" width="10.140625" style="0" bestFit="1" customWidth="1"/>
    <col min="5" max="5" width="15.421875" style="0" bestFit="1" customWidth="1"/>
    <col min="6" max="6" width="37.28125" style="60" bestFit="1" customWidth="1"/>
    <col min="7" max="7" width="7.7109375" style="0" bestFit="1" customWidth="1"/>
    <col min="8" max="9" width="8.7109375" style="0" bestFit="1" customWidth="1"/>
    <col min="10" max="10" width="8.8515625" style="0" bestFit="1" customWidth="1"/>
    <col min="11" max="11" width="8.7109375" style="0" bestFit="1" customWidth="1"/>
    <col min="12" max="12" width="10.28125" style="0" bestFit="1" customWidth="1"/>
  </cols>
  <sheetData>
    <row r="1" spans="1:12" ht="12.75">
      <c r="A1" s="1" t="s">
        <v>20</v>
      </c>
      <c r="B1" s="2"/>
      <c r="C1" s="2"/>
      <c r="D1" s="2"/>
      <c r="E1" s="3"/>
      <c r="F1" s="19" t="s">
        <v>31</v>
      </c>
      <c r="G1" s="2"/>
      <c r="H1" s="2"/>
      <c r="I1" s="2"/>
      <c r="J1" s="2"/>
      <c r="K1" s="2"/>
      <c r="L1" s="2"/>
    </row>
    <row r="2" spans="1:12" ht="12.75">
      <c r="A2" s="2" t="s">
        <v>29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17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12.75">
      <c r="A9" s="46"/>
      <c r="B9" s="27"/>
      <c r="C9" s="28"/>
      <c r="D9" s="28"/>
      <c r="E9" s="29"/>
      <c r="F9" s="127" t="s">
        <v>290</v>
      </c>
      <c r="G9" s="40"/>
      <c r="H9" s="40"/>
      <c r="I9" s="40"/>
      <c r="J9" s="40"/>
      <c r="K9" s="40"/>
      <c r="L9" s="24"/>
    </row>
    <row r="10" spans="1:12" ht="12.75">
      <c r="A10" s="26"/>
      <c r="B10" s="30"/>
      <c r="C10" s="30"/>
      <c r="D10" s="30"/>
      <c r="E10" s="31"/>
      <c r="F10" s="31"/>
      <c r="G10" s="41"/>
      <c r="H10" s="41"/>
      <c r="I10" s="41"/>
      <c r="J10" s="41"/>
      <c r="K10" s="41"/>
      <c r="L10" s="25"/>
    </row>
    <row r="11" spans="1:12" ht="12.75">
      <c r="A11" s="2"/>
      <c r="B11" s="2"/>
      <c r="C11" s="2"/>
      <c r="D11" s="2"/>
      <c r="E11" s="3"/>
      <c r="F11" s="19" t="s">
        <v>76</v>
      </c>
      <c r="G11" s="107">
        <f aca="true" t="shared" si="0" ref="G11:L11">SUM(G9:G10)</f>
        <v>0</v>
      </c>
      <c r="H11" s="107">
        <f t="shared" si="0"/>
        <v>0</v>
      </c>
      <c r="I11" s="107">
        <f t="shared" si="0"/>
        <v>0</v>
      </c>
      <c r="J11" s="107">
        <f t="shared" si="0"/>
        <v>0</v>
      </c>
      <c r="K11" s="107">
        <f t="shared" si="0"/>
        <v>0</v>
      </c>
      <c r="L11" s="107">
        <f t="shared" si="0"/>
        <v>0</v>
      </c>
    </row>
    <row r="12" spans="1:12" ht="12.75">
      <c r="A12" s="2"/>
      <c r="B12" s="2"/>
      <c r="C12" s="2"/>
      <c r="D12" s="2"/>
      <c r="E12" s="3"/>
      <c r="F12" s="3"/>
      <c r="G12" s="2"/>
      <c r="H12" s="2"/>
      <c r="I12" s="2"/>
      <c r="J12" s="2"/>
      <c r="K12" s="2"/>
      <c r="L12" s="2"/>
    </row>
    <row r="13" spans="1:16" ht="12.75">
      <c r="A13" s="42"/>
      <c r="B13" s="42"/>
      <c r="C13" s="42"/>
      <c r="D13" s="42"/>
      <c r="E13" s="31"/>
      <c r="F13" s="44"/>
      <c r="G13" s="43"/>
      <c r="H13" s="43"/>
      <c r="I13" s="43"/>
      <c r="J13" s="43"/>
      <c r="K13" s="43"/>
      <c r="L13" s="43"/>
      <c r="M13" s="26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130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.75">
      <c r="A15" s="26"/>
      <c r="B15" s="26"/>
      <c r="C15" s="26"/>
      <c r="D15" s="26"/>
      <c r="E15" s="26"/>
      <c r="F15" s="130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2.75">
      <c r="A16" s="26"/>
      <c r="B16" s="26"/>
      <c r="C16" s="26"/>
      <c r="D16" s="26"/>
      <c r="E16" s="26"/>
      <c r="F16" s="130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130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130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130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2.75">
      <c r="A20" s="26"/>
      <c r="B20" s="26"/>
      <c r="C20" s="26"/>
      <c r="D20" s="26"/>
      <c r="E20" s="26"/>
      <c r="F20" s="130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2.75">
      <c r="A21" s="26"/>
      <c r="B21" s="26"/>
      <c r="C21" s="26"/>
      <c r="D21" s="26"/>
      <c r="E21" s="26"/>
      <c r="F21" s="130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130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130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130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130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130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130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130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130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421875" style="0" bestFit="1" customWidth="1"/>
    <col min="2" max="2" width="9.8515625" style="0" bestFit="1" customWidth="1"/>
    <col min="3" max="4" width="11.00390625" style="0" bestFit="1" customWidth="1"/>
    <col min="5" max="5" width="19.8515625" style="0" bestFit="1" customWidth="1"/>
    <col min="6" max="6" width="34.8515625" style="60" bestFit="1" customWidth="1"/>
    <col min="7" max="7" width="11.140625" style="0" bestFit="1" customWidth="1"/>
    <col min="8" max="8" width="9.28125" style="0" bestFit="1" customWidth="1"/>
    <col min="9" max="9" width="11.140625" style="0" bestFit="1" customWidth="1"/>
    <col min="10" max="11" width="9.57421875" style="0" bestFit="1" customWidth="1"/>
    <col min="12" max="12" width="11.140625" style="0" bestFit="1" customWidth="1"/>
  </cols>
  <sheetData>
    <row r="1" spans="1:12" ht="12.75">
      <c r="A1" s="1" t="s">
        <v>27</v>
      </c>
      <c r="B1" s="2">
        <v>470</v>
      </c>
      <c r="C1" s="2"/>
      <c r="D1" s="2"/>
      <c r="E1" s="19"/>
      <c r="F1" s="19" t="s">
        <v>30</v>
      </c>
      <c r="G1" s="2"/>
      <c r="H1" s="2"/>
      <c r="I1" s="2"/>
      <c r="J1" s="2"/>
      <c r="K1" s="2"/>
      <c r="L1" s="2"/>
    </row>
    <row r="2" spans="1:12" ht="12.75">
      <c r="A2" s="2" t="s">
        <v>28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17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12.75">
      <c r="A9" s="32" t="s">
        <v>130</v>
      </c>
      <c r="B9" s="93">
        <v>37937</v>
      </c>
      <c r="C9" s="23">
        <v>37939</v>
      </c>
      <c r="D9" s="23">
        <v>37946</v>
      </c>
      <c r="E9" s="20" t="s">
        <v>73</v>
      </c>
      <c r="F9" s="21" t="s">
        <v>92</v>
      </c>
      <c r="G9" s="40">
        <v>530.98</v>
      </c>
      <c r="H9" s="40"/>
      <c r="I9" s="40">
        <v>624.57</v>
      </c>
      <c r="J9" s="40">
        <v>316.5</v>
      </c>
      <c r="K9" s="40">
        <v>598.7</v>
      </c>
      <c r="L9" s="24">
        <f>SUM(G9:K9)</f>
        <v>2070.75</v>
      </c>
    </row>
    <row r="10" spans="1:12" ht="12.75">
      <c r="A10" s="32" t="s">
        <v>131</v>
      </c>
      <c r="B10" s="93">
        <v>38016</v>
      </c>
      <c r="C10" s="23">
        <v>37993</v>
      </c>
      <c r="D10" s="23">
        <v>37995</v>
      </c>
      <c r="E10" s="20" t="s">
        <v>94</v>
      </c>
      <c r="F10" s="95" t="s">
        <v>83</v>
      </c>
      <c r="G10" s="24">
        <v>115.16</v>
      </c>
      <c r="H10" s="24"/>
      <c r="I10" s="24">
        <v>110</v>
      </c>
      <c r="J10" s="24">
        <v>77.5</v>
      </c>
      <c r="K10" s="24"/>
      <c r="L10" s="24">
        <f>SUM(G10:K10)</f>
        <v>302.65999999999997</v>
      </c>
    </row>
    <row r="11" spans="1:12" s="26" customFormat="1" ht="38.25">
      <c r="A11" s="50" t="s">
        <v>222</v>
      </c>
      <c r="B11" s="93">
        <v>38233</v>
      </c>
      <c r="C11" s="28">
        <v>38143</v>
      </c>
      <c r="D11" s="28">
        <v>38149</v>
      </c>
      <c r="E11" s="29" t="s">
        <v>132</v>
      </c>
      <c r="F11" s="52" t="s">
        <v>133</v>
      </c>
      <c r="G11" s="40">
        <v>669.45</v>
      </c>
      <c r="H11" s="40"/>
      <c r="I11" s="40">
        <v>751.58</v>
      </c>
      <c r="J11" s="40">
        <v>221.5</v>
      </c>
      <c r="K11" s="40"/>
      <c r="L11" s="24">
        <f>SUM(G11:K11)</f>
        <v>1642.5300000000002</v>
      </c>
    </row>
    <row r="12" spans="1:12" ht="12.75">
      <c r="A12" s="90"/>
      <c r="B12" s="94"/>
      <c r="C12" s="91"/>
      <c r="D12" s="91"/>
      <c r="E12" s="3"/>
      <c r="F12" s="3"/>
      <c r="G12" s="25"/>
      <c r="H12" s="25"/>
      <c r="I12" s="25"/>
      <c r="J12" s="25"/>
      <c r="K12" s="25"/>
      <c r="L12" s="25"/>
    </row>
    <row r="13" spans="1:12" ht="12.75">
      <c r="A13" s="2"/>
      <c r="B13" s="2"/>
      <c r="C13" s="2"/>
      <c r="D13" s="2"/>
      <c r="E13" s="3"/>
      <c r="F13" s="19" t="s">
        <v>76</v>
      </c>
      <c r="G13" s="107">
        <f aca="true" t="shared" si="0" ref="G13:L13">SUM(G9:G12)</f>
        <v>1315.5900000000001</v>
      </c>
      <c r="H13" s="107">
        <f t="shared" si="0"/>
        <v>0</v>
      </c>
      <c r="I13" s="107">
        <f t="shared" si="0"/>
        <v>1486.15</v>
      </c>
      <c r="J13" s="107">
        <f t="shared" si="0"/>
        <v>615.5</v>
      </c>
      <c r="K13" s="107">
        <f t="shared" si="0"/>
        <v>598.7</v>
      </c>
      <c r="L13" s="107">
        <f t="shared" si="0"/>
        <v>4015.94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0" bestFit="1" customWidth="1"/>
    <col min="2" max="4" width="10.140625" style="0" bestFit="1" customWidth="1"/>
    <col min="5" max="5" width="16.00390625" style="0" bestFit="1" customWidth="1"/>
    <col min="6" max="6" width="31.00390625" style="60" bestFit="1" customWidth="1"/>
    <col min="7" max="8" width="9.28125" style="0" bestFit="1" customWidth="1"/>
    <col min="9" max="9" width="10.28125" style="0" bestFit="1" customWidth="1"/>
    <col min="10" max="10" width="10.8515625" style="0" bestFit="1" customWidth="1"/>
    <col min="11" max="11" width="9.28125" style="0" bestFit="1" customWidth="1"/>
    <col min="12" max="12" width="10.28125" style="0" bestFit="1" customWidth="1"/>
  </cols>
  <sheetData>
    <row r="1" spans="1:12" ht="12.75">
      <c r="A1" s="1" t="s">
        <v>25</v>
      </c>
      <c r="B1" s="2">
        <v>963</v>
      </c>
      <c r="C1" s="2"/>
      <c r="D1" s="2"/>
      <c r="E1" s="3"/>
      <c r="F1" s="19" t="s">
        <v>30</v>
      </c>
      <c r="G1" s="2"/>
      <c r="H1" s="2"/>
      <c r="I1" s="2"/>
      <c r="J1" s="2"/>
      <c r="K1" s="2"/>
      <c r="L1" s="2"/>
    </row>
    <row r="2" spans="1:12" ht="12.75">
      <c r="A2" s="2" t="s">
        <v>26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17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29.25" customHeight="1">
      <c r="A9" s="47" t="s">
        <v>134</v>
      </c>
      <c r="B9" s="33">
        <v>37950</v>
      </c>
      <c r="C9" s="33">
        <v>37904</v>
      </c>
      <c r="D9" s="33">
        <v>37911</v>
      </c>
      <c r="E9" s="20" t="s">
        <v>135</v>
      </c>
      <c r="F9" s="21" t="s">
        <v>136</v>
      </c>
      <c r="G9" s="24"/>
      <c r="H9" s="24">
        <v>387</v>
      </c>
      <c r="I9" s="24">
        <v>511.84</v>
      </c>
      <c r="J9" s="24">
        <v>324.5</v>
      </c>
      <c r="K9" s="24">
        <f>53.7+2.5</f>
        <v>56.2</v>
      </c>
      <c r="L9" s="24">
        <f>SUM(G9:K9)</f>
        <v>1279.54</v>
      </c>
    </row>
    <row r="10" spans="1:12" ht="25.5">
      <c r="A10" s="32" t="s">
        <v>121</v>
      </c>
      <c r="B10" s="51">
        <v>38044</v>
      </c>
      <c r="C10" s="33">
        <v>38009</v>
      </c>
      <c r="D10" s="33">
        <v>38010</v>
      </c>
      <c r="E10" s="20" t="s">
        <v>122</v>
      </c>
      <c r="F10" s="52" t="s">
        <v>123</v>
      </c>
      <c r="G10" s="40">
        <v>53.7</v>
      </c>
      <c r="H10" s="40"/>
      <c r="I10" s="40">
        <v>64.7</v>
      </c>
      <c r="J10" s="40">
        <v>46.5</v>
      </c>
      <c r="K10" s="40">
        <v>5</v>
      </c>
      <c r="L10" s="24">
        <f>SUM(G10:K10)</f>
        <v>169.9</v>
      </c>
    </row>
    <row r="11" spans="1:12" ht="25.5">
      <c r="A11" s="47" t="s">
        <v>137</v>
      </c>
      <c r="B11" s="54">
        <v>37950</v>
      </c>
      <c r="C11" s="51">
        <v>37956</v>
      </c>
      <c r="D11" s="51">
        <v>37958</v>
      </c>
      <c r="E11" s="29" t="s">
        <v>70</v>
      </c>
      <c r="F11" s="52" t="s">
        <v>138</v>
      </c>
      <c r="G11" s="40">
        <v>105.82</v>
      </c>
      <c r="H11" s="40">
        <v>484.5</v>
      </c>
      <c r="I11" s="40">
        <v>123.62</v>
      </c>
      <c r="J11" s="40">
        <v>107.5</v>
      </c>
      <c r="K11" s="40">
        <f>55+55</f>
        <v>110</v>
      </c>
      <c r="L11" s="24">
        <f>SUM(G11:K11)</f>
        <v>931.4399999999999</v>
      </c>
    </row>
    <row r="12" spans="1:12" ht="25.5">
      <c r="A12" s="47" t="s">
        <v>139</v>
      </c>
      <c r="B12" s="55">
        <v>38085</v>
      </c>
      <c r="C12" s="55">
        <v>38068</v>
      </c>
      <c r="D12" s="55">
        <v>38071</v>
      </c>
      <c r="E12" s="31" t="s">
        <v>122</v>
      </c>
      <c r="F12" s="21" t="s">
        <v>140</v>
      </c>
      <c r="G12" s="40">
        <v>53.7</v>
      </c>
      <c r="H12" s="40"/>
      <c r="I12" s="40">
        <v>194.1</v>
      </c>
      <c r="J12" s="40">
        <v>108.5</v>
      </c>
      <c r="K12" s="40">
        <v>3.75</v>
      </c>
      <c r="L12" s="24">
        <f>SUM(G12:K12)</f>
        <v>360.05</v>
      </c>
    </row>
    <row r="13" spans="1:12" ht="12.75">
      <c r="A13" s="49" t="s">
        <v>141</v>
      </c>
      <c r="B13" s="102">
        <v>38135</v>
      </c>
      <c r="C13" s="102">
        <v>38139</v>
      </c>
      <c r="D13" s="102">
        <v>38142</v>
      </c>
      <c r="E13" s="3" t="s">
        <v>70</v>
      </c>
      <c r="F13" s="3" t="s">
        <v>142</v>
      </c>
      <c r="G13" s="24">
        <v>106.78</v>
      </c>
      <c r="H13" s="24"/>
      <c r="I13" s="24">
        <v>493.38</v>
      </c>
      <c r="J13" s="24">
        <v>150.5</v>
      </c>
      <c r="K13" s="24"/>
      <c r="L13" s="24">
        <f>SUM(G13:K13)</f>
        <v>750.66</v>
      </c>
    </row>
    <row r="14" spans="1:12" ht="12.75">
      <c r="A14" s="49"/>
      <c r="B14" s="102"/>
      <c r="C14" s="102"/>
      <c r="D14" s="102"/>
      <c r="E14" s="3"/>
      <c r="F14" s="3"/>
      <c r="G14" s="25"/>
      <c r="H14" s="25"/>
      <c r="I14" s="25"/>
      <c r="J14" s="25"/>
      <c r="K14" s="25"/>
      <c r="L14" s="25"/>
    </row>
    <row r="15" spans="1:12" ht="12.75">
      <c r="A15" s="2"/>
      <c r="B15" s="56"/>
      <c r="C15" s="56"/>
      <c r="D15" s="56"/>
      <c r="E15" s="3"/>
      <c r="F15" s="19" t="s">
        <v>76</v>
      </c>
      <c r="G15" s="107">
        <f aca="true" t="shared" si="0" ref="G15:L15">SUM(G9:G14)</f>
        <v>320</v>
      </c>
      <c r="H15" s="107">
        <f t="shared" si="0"/>
        <v>871.5</v>
      </c>
      <c r="I15" s="107">
        <f t="shared" si="0"/>
        <v>1387.6399999999999</v>
      </c>
      <c r="J15" s="107">
        <f t="shared" si="0"/>
        <v>737.5</v>
      </c>
      <c r="K15" s="107">
        <f t="shared" si="0"/>
        <v>174.95</v>
      </c>
      <c r="L15" s="107">
        <f t="shared" si="0"/>
        <v>3491.59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0.140625" style="0" bestFit="1" customWidth="1"/>
    <col min="3" max="4" width="11.00390625" style="0" bestFit="1" customWidth="1"/>
    <col min="5" max="5" width="22.8515625" style="0" bestFit="1" customWidth="1"/>
    <col min="6" max="6" width="38.57421875" style="60" bestFit="1" customWidth="1"/>
    <col min="7" max="8" width="8.421875" style="0" bestFit="1" customWidth="1"/>
    <col min="9" max="9" width="9.8515625" style="0" bestFit="1" customWidth="1"/>
    <col min="10" max="10" width="9.421875" style="0" bestFit="1" customWidth="1"/>
    <col min="11" max="11" width="9.00390625" style="0" bestFit="1" customWidth="1"/>
    <col min="12" max="12" width="10.00390625" style="0" bestFit="1" customWidth="1"/>
  </cols>
  <sheetData>
    <row r="1" spans="1:6" s="2" customFormat="1" ht="12.75" customHeight="1">
      <c r="A1" s="1" t="s">
        <v>16</v>
      </c>
      <c r="C1" s="2">
        <v>956</v>
      </c>
      <c r="E1" s="3"/>
      <c r="F1" s="19" t="s">
        <v>31</v>
      </c>
    </row>
    <row r="2" spans="1:6" s="2" customFormat="1" ht="12.75" customHeight="1">
      <c r="A2" s="2" t="s">
        <v>0</v>
      </c>
      <c r="E2" s="3"/>
      <c r="F2" s="3"/>
    </row>
    <row r="3" spans="1:6" s="2" customFormat="1" ht="12.75" customHeight="1">
      <c r="A3" s="2" t="s">
        <v>1</v>
      </c>
      <c r="E3" s="3"/>
      <c r="F3" s="3"/>
    </row>
    <row r="4" spans="1:6" s="2" customFormat="1" ht="12.75" customHeight="1">
      <c r="A4" s="2" t="s">
        <v>56</v>
      </c>
      <c r="E4" s="3"/>
      <c r="F4" s="3"/>
    </row>
    <row r="5" spans="5:6" s="2" customFormat="1" ht="12.75" customHeight="1">
      <c r="E5" s="3"/>
      <c r="F5" s="3"/>
    </row>
    <row r="6" spans="5:6" s="2" customFormat="1" ht="12.75" customHeight="1" thickBot="1">
      <c r="E6" s="3"/>
      <c r="F6" s="3"/>
    </row>
    <row r="7" spans="1:12" s="2" customFormat="1" ht="12.75" customHeight="1">
      <c r="A7" s="4" t="s">
        <v>17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s="2" customFormat="1" ht="12.75" customHeight="1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s="2" customFormat="1" ht="12.75" customHeight="1">
      <c r="A9" s="46" t="s">
        <v>65</v>
      </c>
      <c r="B9" s="22">
        <v>38191</v>
      </c>
      <c r="C9" s="23">
        <v>38157</v>
      </c>
      <c r="D9" s="23">
        <v>38162</v>
      </c>
      <c r="E9" s="20" t="s">
        <v>66</v>
      </c>
      <c r="F9" s="20" t="s">
        <v>67</v>
      </c>
      <c r="G9" s="96">
        <f>52.98+187.82+12.14</f>
        <v>252.94</v>
      </c>
      <c r="H9" s="96">
        <v>450.9</v>
      </c>
      <c r="I9" s="96">
        <v>570.07</v>
      </c>
      <c r="J9" s="96">
        <v>170.5</v>
      </c>
      <c r="K9" s="96">
        <f>465+69.3</f>
        <v>534.3</v>
      </c>
      <c r="L9" s="96">
        <f>SUM(G9:K9)</f>
        <v>1978.7099999999998</v>
      </c>
    </row>
    <row r="10" spans="5:12" s="2" customFormat="1" ht="12.75" customHeight="1">
      <c r="E10" s="3"/>
      <c r="F10" s="3"/>
      <c r="G10" s="97"/>
      <c r="H10" s="97"/>
      <c r="I10" s="97"/>
      <c r="J10" s="97"/>
      <c r="K10" s="97"/>
      <c r="L10" s="97"/>
    </row>
    <row r="11" spans="5:12" s="2" customFormat="1" ht="12.75" customHeight="1">
      <c r="E11" s="3"/>
      <c r="F11" s="19" t="s">
        <v>76</v>
      </c>
      <c r="G11" s="37">
        <f aca="true" t="shared" si="0" ref="G11:L11">SUM(G9:G10)</f>
        <v>252.94</v>
      </c>
      <c r="H11" s="37">
        <f t="shared" si="0"/>
        <v>450.9</v>
      </c>
      <c r="I11" s="37">
        <f t="shared" si="0"/>
        <v>570.07</v>
      </c>
      <c r="J11" s="37">
        <f t="shared" si="0"/>
        <v>170.5</v>
      </c>
      <c r="K11" s="37">
        <f t="shared" si="0"/>
        <v>534.3</v>
      </c>
      <c r="L11" s="37">
        <f t="shared" si="0"/>
        <v>1978.7099999999998</v>
      </c>
    </row>
    <row r="12" spans="5:6" s="2" customFormat="1" ht="12.75" customHeight="1">
      <c r="E12" s="3"/>
      <c r="F12" s="3"/>
    </row>
    <row r="13" spans="5:6" s="2" customFormat="1" ht="12.75" customHeight="1">
      <c r="E13" s="3"/>
      <c r="F13" s="3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bestFit="1" customWidth="1"/>
    <col min="2" max="4" width="10.140625" style="0" bestFit="1" customWidth="1"/>
    <col min="5" max="5" width="17.8515625" style="0" bestFit="1" customWidth="1"/>
    <col min="6" max="6" width="37.28125" style="60" bestFit="1" customWidth="1"/>
    <col min="7" max="7" width="8.8515625" style="0" bestFit="1" customWidth="1"/>
    <col min="8" max="8" width="9.8515625" style="0" bestFit="1" customWidth="1"/>
    <col min="9" max="9" width="10.28125" style="0" bestFit="1" customWidth="1"/>
    <col min="10" max="10" width="8.8515625" style="0" bestFit="1" customWidth="1"/>
    <col min="11" max="11" width="8.7109375" style="0" bestFit="1" customWidth="1"/>
    <col min="12" max="12" width="10.28125" style="0" bestFit="1" customWidth="1"/>
  </cols>
  <sheetData>
    <row r="1" spans="1:12" ht="12.75">
      <c r="A1" s="1" t="s">
        <v>18</v>
      </c>
      <c r="B1" s="2"/>
      <c r="C1" s="2">
        <v>8803</v>
      </c>
      <c r="D1" s="2"/>
      <c r="E1" s="3"/>
      <c r="F1" s="19" t="s">
        <v>51</v>
      </c>
      <c r="G1" s="2"/>
      <c r="H1" s="2"/>
      <c r="I1" s="2"/>
      <c r="J1" s="2"/>
      <c r="K1" s="2"/>
      <c r="L1" s="2"/>
    </row>
    <row r="2" spans="1:12" ht="12.75">
      <c r="A2" s="2" t="s">
        <v>19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17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2" ht="25.5">
      <c r="A9" s="46" t="s">
        <v>69</v>
      </c>
      <c r="B9" s="22">
        <v>38233</v>
      </c>
      <c r="C9" s="23">
        <v>38209</v>
      </c>
      <c r="D9" s="23">
        <v>38210</v>
      </c>
      <c r="E9" s="20" t="s">
        <v>70</v>
      </c>
      <c r="F9" s="21" t="s">
        <v>71</v>
      </c>
      <c r="G9" s="24">
        <f>54.62+54.62</f>
        <v>109.24</v>
      </c>
      <c r="H9" s="24"/>
      <c r="I9" s="24">
        <f>60.16+60.15</f>
        <v>120.31</v>
      </c>
      <c r="J9" s="24">
        <f>32.25+32.25</f>
        <v>64.5</v>
      </c>
      <c r="K9" s="24">
        <f>8+8</f>
        <v>16</v>
      </c>
      <c r="L9" s="24">
        <f>SUM(G9:K9)</f>
        <v>310.05</v>
      </c>
    </row>
    <row r="10" spans="1:12" ht="38.25">
      <c r="A10" s="46" t="s">
        <v>72</v>
      </c>
      <c r="B10" s="18">
        <v>38107</v>
      </c>
      <c r="C10" s="18">
        <v>37941</v>
      </c>
      <c r="D10" s="18">
        <v>37948</v>
      </c>
      <c r="E10" s="3" t="s">
        <v>73</v>
      </c>
      <c r="F10" s="21" t="s">
        <v>74</v>
      </c>
      <c r="G10" s="24">
        <v>20</v>
      </c>
      <c r="H10" s="24">
        <v>268</v>
      </c>
      <c r="I10" s="24">
        <v>923.09</v>
      </c>
      <c r="J10" s="24">
        <v>322.5</v>
      </c>
      <c r="K10" s="24">
        <v>612</v>
      </c>
      <c r="L10" s="24">
        <f>SUM(G10:K10)</f>
        <v>2145.59</v>
      </c>
    </row>
    <row r="11" spans="1:12" ht="38.25">
      <c r="A11" s="46" t="s">
        <v>75</v>
      </c>
      <c r="B11" s="18">
        <v>38030</v>
      </c>
      <c r="C11" s="18">
        <v>37897</v>
      </c>
      <c r="D11" s="18">
        <v>37904</v>
      </c>
      <c r="E11" s="3" t="s">
        <v>58</v>
      </c>
      <c r="F11" s="87" t="s">
        <v>289</v>
      </c>
      <c r="G11" s="24"/>
      <c r="H11" s="24">
        <v>537</v>
      </c>
      <c r="I11" s="24">
        <v>497.46</v>
      </c>
      <c r="J11" s="24">
        <v>224.5</v>
      </c>
      <c r="K11" s="24">
        <v>310.12</v>
      </c>
      <c r="L11" s="24">
        <f>SUM(G11:K11)</f>
        <v>1569.08</v>
      </c>
    </row>
    <row r="12" spans="1:12" ht="12.75">
      <c r="A12" s="2"/>
      <c r="B12" s="2"/>
      <c r="C12" s="2"/>
      <c r="D12" s="2"/>
      <c r="E12" s="3"/>
      <c r="F12" s="3"/>
      <c r="G12" s="25"/>
      <c r="H12" s="25"/>
      <c r="I12" s="25"/>
      <c r="J12" s="25"/>
      <c r="K12" s="25"/>
      <c r="L12" s="25"/>
    </row>
    <row r="13" spans="1:12" ht="12.75">
      <c r="A13" s="2"/>
      <c r="B13" s="2"/>
      <c r="C13" s="2"/>
      <c r="D13" s="2"/>
      <c r="E13" s="3"/>
      <c r="F13" s="19" t="s">
        <v>76</v>
      </c>
      <c r="G13" s="107">
        <f aca="true" t="shared" si="0" ref="G13:L13">SUM(G9:G12)</f>
        <v>129.24</v>
      </c>
      <c r="H13" s="107">
        <f t="shared" si="0"/>
        <v>805</v>
      </c>
      <c r="I13" s="107">
        <f t="shared" si="0"/>
        <v>1540.8600000000001</v>
      </c>
      <c r="J13" s="107">
        <f t="shared" si="0"/>
        <v>611.5</v>
      </c>
      <c r="K13" s="107">
        <f t="shared" si="0"/>
        <v>938.12</v>
      </c>
      <c r="L13" s="107">
        <f t="shared" si="0"/>
        <v>4024.7200000000003</v>
      </c>
    </row>
    <row r="14" spans="1:12" ht="12.75">
      <c r="A14" s="2"/>
      <c r="B14" s="2"/>
      <c r="C14" s="2"/>
      <c r="D14" s="2"/>
      <c r="E14" s="3"/>
      <c r="F14" s="3"/>
      <c r="G14" s="2"/>
      <c r="H14" s="2"/>
      <c r="I14" s="2"/>
      <c r="J14" s="2"/>
      <c r="K14" s="2"/>
      <c r="L14" s="2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26" bestFit="1" customWidth="1"/>
    <col min="2" max="2" width="11.140625" style="26" bestFit="1" customWidth="1"/>
    <col min="3" max="4" width="11.28125" style="26" bestFit="1" customWidth="1"/>
    <col min="5" max="5" width="16.7109375" style="26" bestFit="1" customWidth="1"/>
    <col min="6" max="6" width="40.421875" style="130" customWidth="1"/>
    <col min="7" max="7" width="11.140625" style="26" bestFit="1" customWidth="1"/>
    <col min="8" max="8" width="9.57421875" style="26" bestFit="1" customWidth="1"/>
    <col min="9" max="9" width="11.140625" style="26" bestFit="1" customWidth="1"/>
    <col min="10" max="11" width="9.57421875" style="26" bestFit="1" customWidth="1"/>
    <col min="12" max="12" width="11.140625" style="26" bestFit="1" customWidth="1"/>
    <col min="13" max="13" width="14.8515625" style="26" customWidth="1"/>
    <col min="14" max="14" width="9.28125" style="26" bestFit="1" customWidth="1"/>
    <col min="15" max="16384" width="9.140625" style="26" customWidth="1"/>
  </cols>
  <sheetData>
    <row r="1" spans="1:12" ht="12.75">
      <c r="A1" s="61" t="s">
        <v>21</v>
      </c>
      <c r="B1" s="42"/>
      <c r="C1" s="42">
        <v>14723</v>
      </c>
      <c r="D1" s="42"/>
      <c r="E1" s="31"/>
      <c r="F1" s="44" t="s">
        <v>40</v>
      </c>
      <c r="G1" s="42"/>
      <c r="H1" s="42"/>
      <c r="I1" s="42"/>
      <c r="J1" s="42"/>
      <c r="K1" s="42"/>
      <c r="L1" s="42"/>
    </row>
    <row r="2" spans="1:12" ht="12.75">
      <c r="A2" s="42" t="s">
        <v>22</v>
      </c>
      <c r="B2" s="42"/>
      <c r="C2" s="42"/>
      <c r="D2" s="42"/>
      <c r="E2" s="31"/>
      <c r="F2" s="31"/>
      <c r="G2" s="42"/>
      <c r="H2" s="42"/>
      <c r="I2" s="42"/>
      <c r="J2" s="42"/>
      <c r="K2" s="42"/>
      <c r="L2" s="42"/>
    </row>
    <row r="3" spans="1:12" ht="12.75">
      <c r="A3" s="42" t="s">
        <v>1</v>
      </c>
      <c r="B3" s="42"/>
      <c r="C3" s="42"/>
      <c r="D3" s="42"/>
      <c r="E3" s="31"/>
      <c r="F3" s="31"/>
      <c r="G3" s="42"/>
      <c r="H3" s="42"/>
      <c r="I3" s="42"/>
      <c r="J3" s="42"/>
      <c r="K3" s="42"/>
      <c r="L3" s="42"/>
    </row>
    <row r="4" spans="1:12" ht="12.75">
      <c r="A4" s="42" t="s">
        <v>56</v>
      </c>
      <c r="B4" s="42"/>
      <c r="C4" s="42"/>
      <c r="D4" s="42"/>
      <c r="E4" s="31"/>
      <c r="F4" s="31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31"/>
      <c r="F5" s="31"/>
      <c r="G5" s="42"/>
      <c r="H5" s="42"/>
      <c r="I5" s="42"/>
      <c r="J5" s="42"/>
      <c r="K5" s="42"/>
      <c r="L5" s="42"/>
    </row>
    <row r="6" spans="1:12" ht="13.5" thickBot="1">
      <c r="A6" s="42"/>
      <c r="B6" s="42"/>
      <c r="C6" s="42"/>
      <c r="D6" s="42"/>
      <c r="E6" s="31"/>
      <c r="F6" s="31"/>
      <c r="G6" s="42"/>
      <c r="H6" s="42"/>
      <c r="I6" s="42"/>
      <c r="J6" s="42"/>
      <c r="K6" s="42"/>
      <c r="L6" s="42"/>
    </row>
    <row r="7" spans="1:12" ht="12.75">
      <c r="A7" s="62" t="s">
        <v>17</v>
      </c>
      <c r="B7" s="63" t="s">
        <v>2</v>
      </c>
      <c r="C7" s="64" t="s">
        <v>3</v>
      </c>
      <c r="D7" s="64"/>
      <c r="E7" s="65" t="s">
        <v>4</v>
      </c>
      <c r="F7" s="66" t="s">
        <v>5</v>
      </c>
      <c r="G7" s="65" t="s">
        <v>6</v>
      </c>
      <c r="H7" s="66" t="s">
        <v>7</v>
      </c>
      <c r="I7" s="67" t="s">
        <v>8</v>
      </c>
      <c r="J7" s="64" t="s">
        <v>9</v>
      </c>
      <c r="K7" s="67" t="s">
        <v>10</v>
      </c>
      <c r="L7" s="67" t="s">
        <v>11</v>
      </c>
    </row>
    <row r="8" spans="1:12" ht="13.5" thickBot="1">
      <c r="A8" s="68" t="s">
        <v>12</v>
      </c>
      <c r="B8" s="69" t="s">
        <v>13</v>
      </c>
      <c r="C8" s="70" t="s">
        <v>13</v>
      </c>
      <c r="D8" s="70"/>
      <c r="E8" s="71"/>
      <c r="F8" s="72"/>
      <c r="G8" s="71" t="s">
        <v>14</v>
      </c>
      <c r="H8" s="73"/>
      <c r="I8" s="88"/>
      <c r="J8" s="78" t="s">
        <v>15</v>
      </c>
      <c r="K8" s="69"/>
      <c r="L8" s="79"/>
    </row>
    <row r="9" spans="1:12" ht="12.75">
      <c r="A9" s="50" t="s">
        <v>77</v>
      </c>
      <c r="B9" s="39">
        <v>38233</v>
      </c>
      <c r="C9" s="39">
        <v>38156</v>
      </c>
      <c r="D9" s="39">
        <v>38162</v>
      </c>
      <c r="E9" s="29" t="s">
        <v>78</v>
      </c>
      <c r="F9" s="20" t="s">
        <v>67</v>
      </c>
      <c r="G9" s="40">
        <v>560.42</v>
      </c>
      <c r="H9" s="40"/>
      <c r="I9" s="40">
        <v>602.3</v>
      </c>
      <c r="J9" s="40">
        <v>201.5</v>
      </c>
      <c r="K9" s="40">
        <v>465</v>
      </c>
      <c r="L9" s="40">
        <f>SUM(G9:K9)</f>
        <v>1829.2199999999998</v>
      </c>
    </row>
    <row r="10" spans="1:12" ht="12.75">
      <c r="A10" s="42"/>
      <c r="B10" s="42"/>
      <c r="C10" s="42"/>
      <c r="D10" s="42"/>
      <c r="E10" s="31"/>
      <c r="F10" s="31"/>
      <c r="G10" s="41"/>
      <c r="H10" s="41"/>
      <c r="I10" s="41"/>
      <c r="J10" s="41"/>
      <c r="K10" s="41"/>
      <c r="L10" s="41"/>
    </row>
    <row r="11" spans="1:12" ht="12.75">
      <c r="A11" s="42"/>
      <c r="B11" s="42"/>
      <c r="C11" s="42"/>
      <c r="D11" s="42"/>
      <c r="E11" s="31"/>
      <c r="F11" s="44" t="s">
        <v>76</v>
      </c>
      <c r="G11" s="106">
        <f aca="true" t="shared" si="0" ref="G11:L11">SUM(G9:G10)</f>
        <v>560.42</v>
      </c>
      <c r="H11" s="106">
        <f t="shared" si="0"/>
        <v>0</v>
      </c>
      <c r="I11" s="106">
        <f t="shared" si="0"/>
        <v>602.3</v>
      </c>
      <c r="J11" s="106">
        <f t="shared" si="0"/>
        <v>201.5</v>
      </c>
      <c r="K11" s="106">
        <f t="shared" si="0"/>
        <v>465</v>
      </c>
      <c r="L11" s="106">
        <f t="shared" si="0"/>
        <v>1829.2199999999998</v>
      </c>
    </row>
    <row r="12" spans="1:12" ht="12.75">
      <c r="A12" s="42"/>
      <c r="B12" s="42"/>
      <c r="C12" s="42"/>
      <c r="D12" s="42"/>
      <c r="E12" s="31"/>
      <c r="F12" s="31"/>
      <c r="G12" s="42"/>
      <c r="H12" s="42"/>
      <c r="I12" s="42"/>
      <c r="J12" s="42"/>
      <c r="K12" s="42"/>
      <c r="L12" s="42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26" bestFit="1" customWidth="1"/>
    <col min="2" max="4" width="10.140625" style="26" bestFit="1" customWidth="1"/>
    <col min="5" max="5" width="17.8515625" style="26" bestFit="1" customWidth="1"/>
    <col min="6" max="6" width="37.28125" style="130" bestFit="1" customWidth="1"/>
    <col min="7" max="7" width="8.7109375" style="26" bestFit="1" customWidth="1"/>
    <col min="8" max="9" width="10.28125" style="26" bestFit="1" customWidth="1"/>
    <col min="10" max="10" width="8.8515625" style="26" bestFit="1" customWidth="1"/>
    <col min="11" max="11" width="8.7109375" style="26" bestFit="1" customWidth="1"/>
    <col min="12" max="12" width="10.28125" style="26" bestFit="1" customWidth="1"/>
    <col min="13" max="16384" width="9.140625" style="26" customWidth="1"/>
  </cols>
  <sheetData>
    <row r="1" spans="1:12" ht="12.75">
      <c r="A1" s="61" t="s">
        <v>23</v>
      </c>
      <c r="B1" s="42"/>
      <c r="C1" s="42">
        <v>13133</v>
      </c>
      <c r="D1" s="42"/>
      <c r="E1" s="31"/>
      <c r="F1" s="44" t="s">
        <v>32</v>
      </c>
      <c r="G1" s="42"/>
      <c r="H1" s="42"/>
      <c r="I1" s="42"/>
      <c r="J1" s="42"/>
      <c r="K1" s="42"/>
      <c r="L1" s="42"/>
    </row>
    <row r="2" spans="1:12" ht="12.75">
      <c r="A2" s="42" t="s">
        <v>24</v>
      </c>
      <c r="B2" s="42"/>
      <c r="C2" s="42"/>
      <c r="D2" s="42"/>
      <c r="E2" s="31"/>
      <c r="F2" s="31"/>
      <c r="G2" s="42"/>
      <c r="H2" s="42"/>
      <c r="I2" s="42"/>
      <c r="J2" s="42"/>
      <c r="K2" s="42"/>
      <c r="L2" s="42"/>
    </row>
    <row r="3" spans="1:12" ht="12.75">
      <c r="A3" s="42" t="s">
        <v>1</v>
      </c>
      <c r="B3" s="42"/>
      <c r="C3" s="42"/>
      <c r="D3" s="42"/>
      <c r="E3" s="31"/>
      <c r="F3" s="31"/>
      <c r="G3" s="42"/>
      <c r="H3" s="42"/>
      <c r="I3" s="42"/>
      <c r="J3" s="42"/>
      <c r="K3" s="42"/>
      <c r="L3" s="42"/>
    </row>
    <row r="4" spans="1:12" ht="12.75">
      <c r="A4" s="42" t="s">
        <v>56</v>
      </c>
      <c r="B4" s="42"/>
      <c r="C4" s="42"/>
      <c r="D4" s="42"/>
      <c r="E4" s="31"/>
      <c r="F4" s="31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31"/>
      <c r="F5" s="31"/>
      <c r="G5" s="42"/>
      <c r="H5" s="42"/>
      <c r="I5" s="42"/>
      <c r="J5" s="42"/>
      <c r="K5" s="42"/>
      <c r="L5" s="42"/>
    </row>
    <row r="6" spans="1:12" ht="13.5" thickBot="1">
      <c r="A6" s="42"/>
      <c r="B6" s="42"/>
      <c r="C6" s="42"/>
      <c r="D6" s="42"/>
      <c r="E6" s="31"/>
      <c r="F6" s="31"/>
      <c r="G6" s="42"/>
      <c r="H6" s="42"/>
      <c r="I6" s="42"/>
      <c r="J6" s="42"/>
      <c r="K6" s="42"/>
      <c r="L6" s="42"/>
    </row>
    <row r="7" spans="1:12" ht="12.75">
      <c r="A7" s="62" t="s">
        <v>17</v>
      </c>
      <c r="B7" s="63" t="s">
        <v>2</v>
      </c>
      <c r="C7" s="64" t="s">
        <v>3</v>
      </c>
      <c r="D7" s="64"/>
      <c r="E7" s="65" t="s">
        <v>4</v>
      </c>
      <c r="F7" s="66" t="s">
        <v>5</v>
      </c>
      <c r="G7" s="65" t="s">
        <v>6</v>
      </c>
      <c r="H7" s="66" t="s">
        <v>7</v>
      </c>
      <c r="I7" s="67" t="s">
        <v>8</v>
      </c>
      <c r="J7" s="64" t="s">
        <v>9</v>
      </c>
      <c r="K7" s="67" t="s">
        <v>10</v>
      </c>
      <c r="L7" s="67" t="s">
        <v>11</v>
      </c>
    </row>
    <row r="8" spans="1:12" ht="13.5" thickBot="1">
      <c r="A8" s="68" t="s">
        <v>12</v>
      </c>
      <c r="B8" s="69" t="s">
        <v>13</v>
      </c>
      <c r="C8" s="70" t="s">
        <v>13</v>
      </c>
      <c r="D8" s="70"/>
      <c r="E8" s="71"/>
      <c r="F8" s="72"/>
      <c r="G8" s="71" t="s">
        <v>14</v>
      </c>
      <c r="H8" s="73"/>
      <c r="I8" s="74"/>
      <c r="J8" s="75" t="s">
        <v>15</v>
      </c>
      <c r="K8" s="76"/>
      <c r="L8" s="76"/>
    </row>
    <row r="9" spans="1:12" ht="25.5">
      <c r="A9" s="46" t="s">
        <v>79</v>
      </c>
      <c r="B9" s="38">
        <v>38079</v>
      </c>
      <c r="C9" s="39">
        <v>38042</v>
      </c>
      <c r="D9" s="39">
        <v>38044</v>
      </c>
      <c r="E9" s="29" t="s">
        <v>63</v>
      </c>
      <c r="F9" s="52" t="s">
        <v>80</v>
      </c>
      <c r="G9" s="40"/>
      <c r="H9" s="40">
        <f>123.95+123.95</f>
        <v>247.9</v>
      </c>
      <c r="I9" s="40">
        <f>223.28+223.28+36</f>
        <v>482.56</v>
      </c>
      <c r="J9" s="40">
        <f>63.75+63.75</f>
        <v>127.5</v>
      </c>
      <c r="K9" s="40">
        <f>36</f>
        <v>36</v>
      </c>
      <c r="L9" s="40">
        <f>SUM(G9:K9)</f>
        <v>893.96</v>
      </c>
    </row>
    <row r="10" spans="1:12" ht="12.75">
      <c r="A10" s="46" t="s">
        <v>81</v>
      </c>
      <c r="B10" s="45">
        <v>38107</v>
      </c>
      <c r="C10" s="45">
        <v>38084</v>
      </c>
      <c r="D10" s="45">
        <v>38085</v>
      </c>
      <c r="E10" s="31" t="s">
        <v>82</v>
      </c>
      <c r="F10" s="95" t="s">
        <v>83</v>
      </c>
      <c r="G10" s="40">
        <v>144.38</v>
      </c>
      <c r="H10" s="40"/>
      <c r="I10" s="40">
        <v>59.68</v>
      </c>
      <c r="J10" s="40">
        <v>46.5</v>
      </c>
      <c r="K10" s="40"/>
      <c r="L10" s="40">
        <f>SUM(G10:K10)</f>
        <v>250.56</v>
      </c>
    </row>
    <row r="11" spans="1:12" ht="25.5">
      <c r="A11" s="46" t="s">
        <v>84</v>
      </c>
      <c r="B11" s="45">
        <v>38189</v>
      </c>
      <c r="C11" s="45">
        <v>38110</v>
      </c>
      <c r="D11" s="45">
        <v>38114</v>
      </c>
      <c r="E11" s="31" t="s">
        <v>85</v>
      </c>
      <c r="F11" s="98" t="s">
        <v>86</v>
      </c>
      <c r="G11" s="40">
        <v>33.76</v>
      </c>
      <c r="H11" s="40">
        <v>292.39</v>
      </c>
      <c r="I11" s="40">
        <v>460.04</v>
      </c>
      <c r="J11" s="40">
        <v>211.5</v>
      </c>
      <c r="K11" s="40">
        <v>30.16</v>
      </c>
      <c r="L11" s="40">
        <f>SUM(G11:K11)</f>
        <v>1027.8500000000001</v>
      </c>
    </row>
    <row r="12" spans="1:12" ht="12.75">
      <c r="A12" s="46" t="s">
        <v>87</v>
      </c>
      <c r="B12" s="99">
        <v>38259</v>
      </c>
      <c r="C12" s="99">
        <v>38263</v>
      </c>
      <c r="D12" s="99">
        <v>38266</v>
      </c>
      <c r="E12" s="31" t="s">
        <v>58</v>
      </c>
      <c r="F12" s="31" t="s">
        <v>68</v>
      </c>
      <c r="G12" s="40">
        <v>34</v>
      </c>
      <c r="H12" s="40">
        <v>512.89</v>
      </c>
      <c r="I12" s="40">
        <v>231.06</v>
      </c>
      <c r="J12" s="40">
        <v>119.5</v>
      </c>
      <c r="K12" s="40">
        <v>133.75</v>
      </c>
      <c r="L12" s="40">
        <f>SUM(G12:K12)</f>
        <v>1031.2</v>
      </c>
    </row>
    <row r="13" spans="1:12" ht="12.75">
      <c r="A13" s="46"/>
      <c r="B13" s="99"/>
      <c r="C13" s="99"/>
      <c r="D13" s="99"/>
      <c r="E13" s="31"/>
      <c r="F13" s="31"/>
      <c r="G13" s="41"/>
      <c r="H13" s="41"/>
      <c r="I13" s="41"/>
      <c r="J13" s="41"/>
      <c r="K13" s="41"/>
      <c r="L13" s="41"/>
    </row>
    <row r="14" spans="1:12" ht="12.75">
      <c r="A14" s="42"/>
      <c r="B14" s="42"/>
      <c r="C14" s="42"/>
      <c r="D14" s="42"/>
      <c r="E14" s="31"/>
      <c r="F14" s="44" t="s">
        <v>76</v>
      </c>
      <c r="G14" s="106">
        <f aca="true" t="shared" si="0" ref="G14:L14">SUM(G9:G12)</f>
        <v>212.14</v>
      </c>
      <c r="H14" s="106">
        <f t="shared" si="0"/>
        <v>1053.1799999999998</v>
      </c>
      <c r="I14" s="106">
        <f t="shared" si="0"/>
        <v>1233.34</v>
      </c>
      <c r="J14" s="106">
        <f t="shared" si="0"/>
        <v>505</v>
      </c>
      <c r="K14" s="106">
        <f t="shared" si="0"/>
        <v>199.91</v>
      </c>
      <c r="L14" s="106">
        <f t="shared" si="0"/>
        <v>3203.5699999999997</v>
      </c>
    </row>
    <row r="15" spans="1:12" ht="12.75">
      <c r="A15" s="42"/>
      <c r="B15" s="42"/>
      <c r="C15" s="42"/>
      <c r="D15" s="42"/>
      <c r="E15" s="31"/>
      <c r="F15" s="31"/>
      <c r="G15" s="42"/>
      <c r="H15" s="42"/>
      <c r="I15" s="42"/>
      <c r="J15" s="42"/>
      <c r="K15" s="42"/>
      <c r="L15" s="42"/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26" customWidth="1"/>
    <col min="2" max="2" width="9.8515625" style="26" bestFit="1" customWidth="1"/>
    <col min="3" max="4" width="11.00390625" style="26" bestFit="1" customWidth="1"/>
    <col min="5" max="5" width="21.7109375" style="26" customWidth="1"/>
    <col min="6" max="6" width="43.00390625" style="130" customWidth="1"/>
    <col min="7" max="7" width="9.57421875" style="26" bestFit="1" customWidth="1"/>
    <col min="8" max="9" width="11.140625" style="26" bestFit="1" customWidth="1"/>
    <col min="10" max="10" width="9.57421875" style="26" bestFit="1" customWidth="1"/>
    <col min="11" max="12" width="11.140625" style="26" bestFit="1" customWidth="1"/>
    <col min="13" max="16384" width="9.140625" style="26" customWidth="1"/>
  </cols>
  <sheetData>
    <row r="1" spans="1:12" ht="12.75">
      <c r="A1" s="61" t="s">
        <v>48</v>
      </c>
      <c r="B1" s="42"/>
      <c r="C1" s="42">
        <v>799</v>
      </c>
      <c r="D1" s="42"/>
      <c r="E1" s="31"/>
      <c r="F1" s="44" t="s">
        <v>50</v>
      </c>
      <c r="G1" s="42"/>
      <c r="H1" s="42"/>
      <c r="I1" s="42"/>
      <c r="J1" s="42"/>
      <c r="K1" s="42"/>
      <c r="L1" s="42"/>
    </row>
    <row r="2" spans="1:12" ht="12.75">
      <c r="A2" s="42" t="s">
        <v>49</v>
      </c>
      <c r="B2" s="42"/>
      <c r="C2" s="42"/>
      <c r="D2" s="42"/>
      <c r="E2" s="31"/>
      <c r="F2" s="31"/>
      <c r="G2" s="42"/>
      <c r="H2" s="42"/>
      <c r="I2" s="42"/>
      <c r="J2" s="42"/>
      <c r="K2" s="42"/>
      <c r="L2" s="42"/>
    </row>
    <row r="3" spans="1:12" ht="12.75">
      <c r="A3" s="42" t="s">
        <v>1</v>
      </c>
      <c r="B3" s="42"/>
      <c r="C3" s="42"/>
      <c r="D3" s="42"/>
      <c r="E3" s="31"/>
      <c r="F3" s="31"/>
      <c r="G3" s="42"/>
      <c r="H3" s="42"/>
      <c r="I3" s="42"/>
      <c r="J3" s="42"/>
      <c r="K3" s="42"/>
      <c r="L3" s="42"/>
    </row>
    <row r="4" spans="1:12" ht="12.75">
      <c r="A4" s="42" t="s">
        <v>56</v>
      </c>
      <c r="B4" s="42"/>
      <c r="C4" s="42"/>
      <c r="D4" s="42"/>
      <c r="E4" s="31"/>
      <c r="F4" s="31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31"/>
      <c r="F5" s="31"/>
      <c r="G5" s="42"/>
      <c r="H5" s="42"/>
      <c r="I5" s="42"/>
      <c r="J5" s="42"/>
      <c r="K5" s="42"/>
      <c r="L5" s="42"/>
    </row>
    <row r="6" spans="1:12" ht="13.5" thickBot="1">
      <c r="A6" s="42"/>
      <c r="B6" s="42"/>
      <c r="C6" s="42"/>
      <c r="D6" s="42"/>
      <c r="E6" s="31"/>
      <c r="F6" s="31"/>
      <c r="G6" s="42"/>
      <c r="H6" s="42"/>
      <c r="I6" s="42"/>
      <c r="J6" s="42"/>
      <c r="K6" s="42"/>
      <c r="L6" s="42"/>
    </row>
    <row r="7" spans="1:12" ht="12.75">
      <c r="A7" s="62" t="s">
        <v>17</v>
      </c>
      <c r="B7" s="63" t="s">
        <v>2</v>
      </c>
      <c r="C7" s="64" t="s">
        <v>3</v>
      </c>
      <c r="D7" s="64"/>
      <c r="E7" s="65" t="s">
        <v>4</v>
      </c>
      <c r="F7" s="66" t="s">
        <v>5</v>
      </c>
      <c r="G7" s="65" t="s">
        <v>6</v>
      </c>
      <c r="H7" s="66" t="s">
        <v>7</v>
      </c>
      <c r="I7" s="67" t="s">
        <v>8</v>
      </c>
      <c r="J7" s="64" t="s">
        <v>9</v>
      </c>
      <c r="K7" s="67" t="s">
        <v>10</v>
      </c>
      <c r="L7" s="67" t="s">
        <v>11</v>
      </c>
    </row>
    <row r="8" spans="1:12" ht="13.5" thickBot="1">
      <c r="A8" s="68" t="s">
        <v>12</v>
      </c>
      <c r="B8" s="69" t="s">
        <v>13</v>
      </c>
      <c r="C8" s="70" t="s">
        <v>13</v>
      </c>
      <c r="D8" s="70"/>
      <c r="E8" s="71"/>
      <c r="F8" s="72"/>
      <c r="G8" s="71" t="s">
        <v>14</v>
      </c>
      <c r="H8" s="73"/>
      <c r="I8" s="74"/>
      <c r="J8" s="75" t="s">
        <v>15</v>
      </c>
      <c r="K8" s="76"/>
      <c r="L8" s="76"/>
    </row>
    <row r="9" spans="1:12" ht="25.5">
      <c r="A9" s="50" t="s">
        <v>88</v>
      </c>
      <c r="B9" s="51">
        <v>37932</v>
      </c>
      <c r="C9" s="28">
        <v>37885</v>
      </c>
      <c r="D9" s="28">
        <v>37889</v>
      </c>
      <c r="E9" s="29" t="s">
        <v>89</v>
      </c>
      <c r="F9" s="52" t="s">
        <v>90</v>
      </c>
      <c r="G9" s="40">
        <v>36.14</v>
      </c>
      <c r="H9" s="40">
        <v>360.5</v>
      </c>
      <c r="I9" s="40">
        <v>372.2</v>
      </c>
      <c r="J9" s="40">
        <v>189</v>
      </c>
      <c r="K9" s="40">
        <f>50+37.5</f>
        <v>87.5</v>
      </c>
      <c r="L9" s="40">
        <f aca="true" t="shared" si="0" ref="L9:L14">SUM(G9:K9)</f>
        <v>1045.34</v>
      </c>
    </row>
    <row r="10" spans="1:12" ht="12.75">
      <c r="A10" s="50" t="s">
        <v>91</v>
      </c>
      <c r="B10" s="51">
        <v>38002</v>
      </c>
      <c r="C10" s="28">
        <v>37942</v>
      </c>
      <c r="D10" s="28">
        <v>37945</v>
      </c>
      <c r="E10" s="29" t="s">
        <v>73</v>
      </c>
      <c r="F10" s="29" t="s">
        <v>92</v>
      </c>
      <c r="G10" s="40">
        <v>36.14</v>
      </c>
      <c r="H10" s="40">
        <v>264</v>
      </c>
      <c r="I10" s="40">
        <v>395.61</v>
      </c>
      <c r="J10" s="40">
        <v>147</v>
      </c>
      <c r="K10" s="40">
        <v>220.57</v>
      </c>
      <c r="L10" s="40">
        <f t="shared" si="0"/>
        <v>1063.32</v>
      </c>
    </row>
    <row r="11" spans="1:12" ht="12.75">
      <c r="A11" s="50" t="s">
        <v>93</v>
      </c>
      <c r="B11" s="51">
        <v>38023</v>
      </c>
      <c r="C11" s="28">
        <v>37994</v>
      </c>
      <c r="D11" s="28">
        <v>37995</v>
      </c>
      <c r="E11" s="29" t="s">
        <v>94</v>
      </c>
      <c r="F11" s="95" t="s">
        <v>83</v>
      </c>
      <c r="G11" s="40">
        <v>107.22</v>
      </c>
      <c r="H11" s="40"/>
      <c r="I11" s="40">
        <v>55</v>
      </c>
      <c r="J11" s="40">
        <v>46.5</v>
      </c>
      <c r="K11" s="40"/>
      <c r="L11" s="40">
        <f t="shared" si="0"/>
        <v>208.72</v>
      </c>
    </row>
    <row r="12" spans="1:12" ht="12.75">
      <c r="A12" s="50" t="s">
        <v>95</v>
      </c>
      <c r="B12" s="51">
        <v>38107</v>
      </c>
      <c r="C12" s="28">
        <v>38084</v>
      </c>
      <c r="D12" s="28">
        <v>38085</v>
      </c>
      <c r="E12" s="29" t="s">
        <v>82</v>
      </c>
      <c r="F12" s="95" t="s">
        <v>83</v>
      </c>
      <c r="G12" s="40">
        <v>105</v>
      </c>
      <c r="H12" s="40"/>
      <c r="I12" s="40">
        <v>59.68</v>
      </c>
      <c r="J12" s="40">
        <v>46.5</v>
      </c>
      <c r="K12" s="40"/>
      <c r="L12" s="40">
        <f t="shared" si="0"/>
        <v>211.18</v>
      </c>
    </row>
    <row r="13" spans="1:12" ht="12.75">
      <c r="A13" s="50" t="s">
        <v>77</v>
      </c>
      <c r="B13" s="51">
        <v>38233</v>
      </c>
      <c r="C13" s="28">
        <v>38157</v>
      </c>
      <c r="D13" s="28">
        <v>38162</v>
      </c>
      <c r="E13" s="20" t="s">
        <v>66</v>
      </c>
      <c r="F13" s="20" t="s">
        <v>67</v>
      </c>
      <c r="G13" s="40">
        <f>36.14+447.41</f>
        <v>483.55</v>
      </c>
      <c r="H13" s="40">
        <v>470.9</v>
      </c>
      <c r="I13" s="40">
        <v>599.2</v>
      </c>
      <c r="J13" s="40">
        <v>170.5</v>
      </c>
      <c r="K13" s="40">
        <f>465+45.24</f>
        <v>510.24</v>
      </c>
      <c r="L13" s="40">
        <f t="shared" si="0"/>
        <v>2234.3900000000003</v>
      </c>
    </row>
    <row r="14" spans="1:12" ht="12.75">
      <c r="A14" s="50" t="s">
        <v>96</v>
      </c>
      <c r="B14" s="51">
        <v>38254</v>
      </c>
      <c r="C14" s="28">
        <v>38226</v>
      </c>
      <c r="D14" s="28">
        <v>38230</v>
      </c>
      <c r="E14" s="20" t="s">
        <v>97</v>
      </c>
      <c r="F14" s="20" t="s">
        <v>98</v>
      </c>
      <c r="G14" s="40">
        <v>36.14</v>
      </c>
      <c r="H14" s="40">
        <v>558.9</v>
      </c>
      <c r="I14" s="40">
        <v>481.32</v>
      </c>
      <c r="J14" s="40">
        <v>211.5</v>
      </c>
      <c r="K14" s="40">
        <v>244.89</v>
      </c>
      <c r="L14" s="40">
        <f t="shared" si="0"/>
        <v>1532.75</v>
      </c>
    </row>
    <row r="15" spans="1:12" ht="12.75">
      <c r="A15" s="50"/>
      <c r="B15" s="51"/>
      <c r="C15" s="28"/>
      <c r="D15" s="28"/>
      <c r="E15" s="20"/>
      <c r="F15" s="20"/>
      <c r="G15" s="41"/>
      <c r="H15" s="41"/>
      <c r="I15" s="41"/>
      <c r="J15" s="41"/>
      <c r="K15" s="41"/>
      <c r="L15" s="41"/>
    </row>
    <row r="16" spans="1:12" ht="12.75">
      <c r="A16" s="42"/>
      <c r="B16" s="42"/>
      <c r="C16" s="42"/>
      <c r="D16" s="42"/>
      <c r="E16" s="31"/>
      <c r="F16" s="44" t="s">
        <v>76</v>
      </c>
      <c r="G16" s="106">
        <f aca="true" t="shared" si="1" ref="G16:L16">SUM(G9:G15)</f>
        <v>804.1899999999999</v>
      </c>
      <c r="H16" s="106">
        <f t="shared" si="1"/>
        <v>1654.3000000000002</v>
      </c>
      <c r="I16" s="106">
        <f t="shared" si="1"/>
        <v>1963.01</v>
      </c>
      <c r="J16" s="106">
        <f t="shared" si="1"/>
        <v>811</v>
      </c>
      <c r="K16" s="106">
        <f t="shared" si="1"/>
        <v>1063.1999999999998</v>
      </c>
      <c r="L16" s="106">
        <f t="shared" si="1"/>
        <v>6295.7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95" zoomScaleNormal="95" zoomScalePageLayoutView="0" workbookViewId="0" topLeftCell="A1">
      <pane xSplit="19650" topLeftCell="Q1" activePane="topLeft" state="split"/>
      <selection pane="topLeft" activeCell="A1" sqref="A1"/>
      <selection pane="topRight" activeCell="A1" sqref="A1"/>
    </sheetView>
  </sheetViews>
  <sheetFormatPr defaultColWidth="9.140625" defaultRowHeight="12.75"/>
  <cols>
    <col min="1" max="1" width="19.421875" style="0" customWidth="1"/>
    <col min="2" max="4" width="11.00390625" style="0" bestFit="1" customWidth="1"/>
    <col min="5" max="5" width="19.421875" style="0" customWidth="1"/>
    <col min="6" max="6" width="40.8515625" style="60" customWidth="1"/>
    <col min="7" max="7" width="9.57421875" style="0" bestFit="1" customWidth="1"/>
    <col min="8" max="8" width="11.140625" style="0" bestFit="1" customWidth="1"/>
    <col min="9" max="9" width="11.140625" style="2" bestFit="1" customWidth="1"/>
    <col min="10" max="11" width="11.140625" style="0" bestFit="1" customWidth="1"/>
    <col min="12" max="12" width="12.140625" style="0" bestFit="1" customWidth="1"/>
    <col min="13" max="13" width="11.28125" style="124" hidden="1" customWidth="1"/>
    <col min="14" max="14" width="12.140625" style="84" bestFit="1" customWidth="1"/>
  </cols>
  <sheetData>
    <row r="1" spans="1:12" ht="12.75">
      <c r="A1" s="1" t="s">
        <v>46</v>
      </c>
      <c r="B1" s="2"/>
      <c r="C1" s="2">
        <v>2826</v>
      </c>
      <c r="D1" s="2"/>
      <c r="E1" s="3"/>
      <c r="F1" s="3"/>
      <c r="G1" s="2"/>
      <c r="H1" s="2"/>
      <c r="J1" s="2"/>
      <c r="K1" s="2"/>
      <c r="L1" s="2"/>
    </row>
    <row r="2" spans="1:12" ht="12.75">
      <c r="A2" s="2" t="s">
        <v>47</v>
      </c>
      <c r="B2" s="2"/>
      <c r="C2" s="2"/>
      <c r="D2" s="2"/>
      <c r="E2" s="3"/>
      <c r="F2" s="3"/>
      <c r="G2" s="2"/>
      <c r="H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J3" s="2"/>
      <c r="K3" s="2"/>
      <c r="L3" s="2"/>
    </row>
    <row r="4" spans="1:12" ht="12.75">
      <c r="A4" s="2" t="s">
        <v>56</v>
      </c>
      <c r="B4" s="2"/>
      <c r="C4" s="2"/>
      <c r="D4" s="2"/>
      <c r="E4" s="3"/>
      <c r="F4" s="3"/>
      <c r="G4" s="2"/>
      <c r="H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J6" s="2"/>
      <c r="K6" s="2"/>
      <c r="L6" s="2"/>
    </row>
    <row r="7" spans="1:12" ht="12.75">
      <c r="A7" s="4" t="s">
        <v>17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7"/>
      <c r="J8" s="36" t="s">
        <v>15</v>
      </c>
      <c r="K8" s="17"/>
      <c r="L8" s="17"/>
    </row>
    <row r="9" spans="1:13" ht="25.5">
      <c r="A9" s="32" t="s">
        <v>221</v>
      </c>
      <c r="B9" s="30">
        <v>38282</v>
      </c>
      <c r="C9" s="30">
        <v>38246</v>
      </c>
      <c r="D9" s="30">
        <v>38254</v>
      </c>
      <c r="E9" s="3" t="s">
        <v>220</v>
      </c>
      <c r="F9" s="98" t="s">
        <v>114</v>
      </c>
      <c r="G9" s="116">
        <v>231.5</v>
      </c>
      <c r="H9" s="117">
        <v>535.8</v>
      </c>
      <c r="I9" s="117">
        <v>1740.4</v>
      </c>
      <c r="J9" s="117">
        <v>433.5</v>
      </c>
      <c r="K9" s="117">
        <f>231.5+67.86</f>
        <v>299.36</v>
      </c>
      <c r="L9" s="118">
        <f>SUM(G9:K9)</f>
        <v>3240.56</v>
      </c>
      <c r="M9" s="124" t="s">
        <v>269</v>
      </c>
    </row>
    <row r="10" spans="1:14" ht="12.75">
      <c r="A10" s="50" t="s">
        <v>143</v>
      </c>
      <c r="B10" s="33">
        <v>37897</v>
      </c>
      <c r="C10" s="23">
        <v>37877</v>
      </c>
      <c r="D10" s="23">
        <v>37878</v>
      </c>
      <c r="E10" s="20" t="s">
        <v>144</v>
      </c>
      <c r="F10" s="59" t="s">
        <v>145</v>
      </c>
      <c r="G10" s="57"/>
      <c r="H10" s="57"/>
      <c r="I10" s="57">
        <v>50.85</v>
      </c>
      <c r="J10" s="57">
        <v>45</v>
      </c>
      <c r="K10" s="96"/>
      <c r="L10" s="96">
        <f>SUM(G10:K10)</f>
        <v>95.85</v>
      </c>
      <c r="M10" s="125" t="s">
        <v>268</v>
      </c>
      <c r="N10" s="85"/>
    </row>
    <row r="11" spans="1:13" ht="25.5">
      <c r="A11" s="47" t="s">
        <v>127</v>
      </c>
      <c r="B11" s="33">
        <v>37946</v>
      </c>
      <c r="C11" s="23">
        <v>37898</v>
      </c>
      <c r="D11" s="23">
        <v>37905</v>
      </c>
      <c r="E11" s="20" t="s">
        <v>58</v>
      </c>
      <c r="F11" s="52" t="s">
        <v>125</v>
      </c>
      <c r="G11" s="57"/>
      <c r="H11" s="57"/>
      <c r="I11" s="57">
        <v>578.47</v>
      </c>
      <c r="J11" s="57">
        <v>251.25</v>
      </c>
      <c r="K11" s="96"/>
      <c r="L11" s="96">
        <f aca="true" t="shared" si="0" ref="L11:L24">SUM(G11:K11)</f>
        <v>829.72</v>
      </c>
      <c r="M11" s="124" t="s">
        <v>270</v>
      </c>
    </row>
    <row r="12" spans="1:14" ht="38.25">
      <c r="A12" t="s">
        <v>146</v>
      </c>
      <c r="B12" s="33">
        <v>37974</v>
      </c>
      <c r="C12" s="23">
        <v>37929</v>
      </c>
      <c r="D12" s="23">
        <v>37947</v>
      </c>
      <c r="E12" s="21" t="s">
        <v>147</v>
      </c>
      <c r="F12" s="21" t="s">
        <v>148</v>
      </c>
      <c r="G12" s="57">
        <v>443.04</v>
      </c>
      <c r="H12" s="57">
        <v>381</v>
      </c>
      <c r="I12" s="57">
        <v>582.07</v>
      </c>
      <c r="J12" s="57">
        <v>350</v>
      </c>
      <c r="K12" s="96">
        <v>615</v>
      </c>
      <c r="L12" s="96">
        <f t="shared" si="0"/>
        <v>2371.11</v>
      </c>
      <c r="M12" s="124" t="s">
        <v>271</v>
      </c>
      <c r="N12" s="103"/>
    </row>
    <row r="13" spans="1:13" ht="38.25">
      <c r="A13" t="s">
        <v>149</v>
      </c>
      <c r="B13" s="103">
        <v>37995</v>
      </c>
      <c r="C13" s="23">
        <v>37956</v>
      </c>
      <c r="D13" s="23">
        <v>37958</v>
      </c>
      <c r="E13" s="20" t="s">
        <v>70</v>
      </c>
      <c r="F13" s="59" t="s">
        <v>150</v>
      </c>
      <c r="G13" s="83"/>
      <c r="H13" s="57"/>
      <c r="I13" s="57">
        <v>147.9</v>
      </c>
      <c r="J13" s="83">
        <v>75.25</v>
      </c>
      <c r="K13" s="96"/>
      <c r="L13" s="96">
        <f t="shared" si="0"/>
        <v>223.15</v>
      </c>
      <c r="M13" s="124" t="s">
        <v>272</v>
      </c>
    </row>
    <row r="14" spans="1:13" ht="12.75">
      <c r="A14" t="s">
        <v>151</v>
      </c>
      <c r="B14" s="33">
        <v>38016</v>
      </c>
      <c r="C14" s="23">
        <v>37992</v>
      </c>
      <c r="D14" s="23">
        <v>37994</v>
      </c>
      <c r="E14" s="20" t="s">
        <v>63</v>
      </c>
      <c r="F14" s="60" t="s">
        <v>152</v>
      </c>
      <c r="G14" s="57"/>
      <c r="H14" s="57">
        <v>247.9</v>
      </c>
      <c r="I14" s="57">
        <v>336</v>
      </c>
      <c r="J14" s="57">
        <v>127.5</v>
      </c>
      <c r="K14" s="96">
        <f>70+23.96</f>
        <v>93.96000000000001</v>
      </c>
      <c r="L14" s="96">
        <f t="shared" si="0"/>
        <v>805.36</v>
      </c>
      <c r="M14" s="124" t="s">
        <v>273</v>
      </c>
    </row>
    <row r="15" spans="1:13" ht="12.75">
      <c r="A15" t="s">
        <v>153</v>
      </c>
      <c r="B15" s="33">
        <v>38030</v>
      </c>
      <c r="C15" s="23" t="s">
        <v>154</v>
      </c>
      <c r="D15" s="23">
        <v>38018</v>
      </c>
      <c r="E15" s="20" t="s">
        <v>70</v>
      </c>
      <c r="F15" s="60" t="s">
        <v>155</v>
      </c>
      <c r="G15" s="57"/>
      <c r="H15" s="57"/>
      <c r="I15" s="57">
        <v>109.27</v>
      </c>
      <c r="J15" s="57">
        <v>53.75</v>
      </c>
      <c r="K15" s="96">
        <v>8.75</v>
      </c>
      <c r="L15" s="96">
        <f t="shared" si="0"/>
        <v>171.76999999999998</v>
      </c>
      <c r="M15" s="124" t="s">
        <v>274</v>
      </c>
    </row>
    <row r="16" spans="1:13" ht="25.5">
      <c r="A16" t="s">
        <v>79</v>
      </c>
      <c r="B16" s="33">
        <v>38047</v>
      </c>
      <c r="C16" s="23">
        <v>38042</v>
      </c>
      <c r="D16" s="23">
        <v>38044</v>
      </c>
      <c r="E16" s="20" t="s">
        <v>63</v>
      </c>
      <c r="F16" s="59" t="s">
        <v>156</v>
      </c>
      <c r="G16" s="57"/>
      <c r="H16" s="57">
        <v>247.9</v>
      </c>
      <c r="I16" s="57">
        <v>377.86</v>
      </c>
      <c r="J16" s="57">
        <v>127.5</v>
      </c>
      <c r="K16" s="96">
        <f>28+20.09</f>
        <v>48.09</v>
      </c>
      <c r="L16" s="96">
        <f t="shared" si="0"/>
        <v>801.35</v>
      </c>
      <c r="M16" s="124" t="s">
        <v>275</v>
      </c>
    </row>
    <row r="17" spans="1:13" ht="38.25">
      <c r="A17" t="s">
        <v>158</v>
      </c>
      <c r="B17" s="33">
        <v>38093</v>
      </c>
      <c r="C17" s="23">
        <v>38075</v>
      </c>
      <c r="D17" s="23">
        <v>38076</v>
      </c>
      <c r="E17" s="20" t="s">
        <v>70</v>
      </c>
      <c r="F17" s="59" t="s">
        <v>157</v>
      </c>
      <c r="G17" s="57"/>
      <c r="H17" s="57"/>
      <c r="I17" s="57">
        <v>73.95</v>
      </c>
      <c r="J17" s="57">
        <v>64.5</v>
      </c>
      <c r="K17" s="96"/>
      <c r="L17" s="96">
        <f t="shared" si="0"/>
        <v>138.45</v>
      </c>
      <c r="M17" s="124" t="s">
        <v>276</v>
      </c>
    </row>
    <row r="18" spans="1:13" ht="25.5">
      <c r="A18" t="s">
        <v>159</v>
      </c>
      <c r="B18" s="33">
        <v>38114</v>
      </c>
      <c r="C18" s="23">
        <v>38084</v>
      </c>
      <c r="D18" s="23">
        <v>38085</v>
      </c>
      <c r="E18" s="20" t="s">
        <v>94</v>
      </c>
      <c r="F18" s="52" t="s">
        <v>160</v>
      </c>
      <c r="G18" s="57"/>
      <c r="H18" s="57"/>
      <c r="I18" s="57">
        <v>59.68</v>
      </c>
      <c r="J18" s="57">
        <v>62</v>
      </c>
      <c r="K18" s="96"/>
      <c r="L18" s="96">
        <f t="shared" si="0"/>
        <v>121.68</v>
      </c>
      <c r="M18" s="124" t="s">
        <v>277</v>
      </c>
    </row>
    <row r="19" spans="1:13" ht="25.5">
      <c r="A19" t="s">
        <v>161</v>
      </c>
      <c r="B19" s="33">
        <v>38135</v>
      </c>
      <c r="C19" s="23">
        <v>38109</v>
      </c>
      <c r="D19" s="23">
        <v>38114</v>
      </c>
      <c r="E19" s="20" t="s">
        <v>85</v>
      </c>
      <c r="F19" s="59" t="s">
        <v>162</v>
      </c>
      <c r="G19" s="57"/>
      <c r="H19" s="57">
        <v>584.78</v>
      </c>
      <c r="I19" s="57">
        <v>845</v>
      </c>
      <c r="J19" s="57">
        <v>258.5</v>
      </c>
      <c r="K19" s="96">
        <f>270.59+67.32+84</f>
        <v>421.90999999999997</v>
      </c>
      <c r="L19" s="96">
        <f t="shared" si="0"/>
        <v>2110.19</v>
      </c>
      <c r="M19" s="124" t="s">
        <v>278</v>
      </c>
    </row>
    <row r="20" spans="1:13" ht="38.25">
      <c r="A20" t="s">
        <v>285</v>
      </c>
      <c r="B20" s="33">
        <v>38163</v>
      </c>
      <c r="C20" s="23">
        <v>38132</v>
      </c>
      <c r="D20" s="23">
        <v>38134</v>
      </c>
      <c r="E20" s="20" t="s">
        <v>70</v>
      </c>
      <c r="F20" s="59" t="s">
        <v>150</v>
      </c>
      <c r="G20" s="57"/>
      <c r="H20" s="57"/>
      <c r="I20" s="57">
        <v>134</v>
      </c>
      <c r="J20" s="57">
        <v>107.5</v>
      </c>
      <c r="K20" s="96"/>
      <c r="L20" s="96">
        <f t="shared" si="0"/>
        <v>241.5</v>
      </c>
      <c r="M20" s="126">
        <v>2</v>
      </c>
    </row>
    <row r="21" spans="1:13" ht="25.5">
      <c r="A21" t="s">
        <v>281</v>
      </c>
      <c r="B21" s="33">
        <v>38163</v>
      </c>
      <c r="C21" s="23">
        <v>38153</v>
      </c>
      <c r="D21" s="23">
        <v>38154</v>
      </c>
      <c r="E21" s="20" t="s">
        <v>282</v>
      </c>
      <c r="F21" s="59" t="s">
        <v>283</v>
      </c>
      <c r="G21" s="57"/>
      <c r="H21" s="57"/>
      <c r="I21" s="57">
        <v>57.61</v>
      </c>
      <c r="J21" s="57">
        <v>46.5</v>
      </c>
      <c r="K21" s="96"/>
      <c r="L21" s="96">
        <f t="shared" si="0"/>
        <v>104.11</v>
      </c>
      <c r="M21" s="126">
        <v>1</v>
      </c>
    </row>
    <row r="22" spans="1:13" ht="25.5">
      <c r="A22" t="s">
        <v>284</v>
      </c>
      <c r="B22" s="33">
        <v>38212</v>
      </c>
      <c r="C22" s="23">
        <v>38191</v>
      </c>
      <c r="D22" s="23">
        <v>38193</v>
      </c>
      <c r="E22" s="20" t="s">
        <v>287</v>
      </c>
      <c r="F22" s="59" t="s">
        <v>288</v>
      </c>
      <c r="G22" s="57"/>
      <c r="H22" s="57"/>
      <c r="I22" s="57">
        <v>104.76</v>
      </c>
      <c r="J22" s="57">
        <v>97.5</v>
      </c>
      <c r="K22" s="96"/>
      <c r="L22" s="96">
        <f t="shared" si="0"/>
        <v>202.26</v>
      </c>
      <c r="M22" s="126">
        <v>3</v>
      </c>
    </row>
    <row r="23" spans="1:13" ht="25.5">
      <c r="A23" t="s">
        <v>163</v>
      </c>
      <c r="B23" s="33">
        <v>38226</v>
      </c>
      <c r="C23" s="23">
        <v>38207</v>
      </c>
      <c r="D23" s="23">
        <v>38209</v>
      </c>
      <c r="E23" s="20" t="s">
        <v>70</v>
      </c>
      <c r="F23" s="59" t="s">
        <v>164</v>
      </c>
      <c r="G23" s="57"/>
      <c r="H23" s="57"/>
      <c r="I23" s="57">
        <v>295.8</v>
      </c>
      <c r="J23" s="57">
        <v>107.5</v>
      </c>
      <c r="K23" s="96">
        <f>16</f>
        <v>16</v>
      </c>
      <c r="L23" s="96">
        <f t="shared" si="0"/>
        <v>419.3</v>
      </c>
      <c r="M23" s="124" t="s">
        <v>279</v>
      </c>
    </row>
    <row r="24" spans="1:13" ht="38.25">
      <c r="A24" t="s">
        <v>286</v>
      </c>
      <c r="B24" s="33">
        <v>38247</v>
      </c>
      <c r="C24" s="23">
        <v>38218</v>
      </c>
      <c r="D24" s="23">
        <v>38221</v>
      </c>
      <c r="E24" s="21" t="s">
        <v>165</v>
      </c>
      <c r="F24" s="59" t="s">
        <v>166</v>
      </c>
      <c r="G24" s="40"/>
      <c r="H24" s="40"/>
      <c r="I24" s="40">
        <v>176.47</v>
      </c>
      <c r="J24" s="40">
        <v>115.5</v>
      </c>
      <c r="K24" s="24">
        <v>132.59</v>
      </c>
      <c r="L24" s="24">
        <f t="shared" si="0"/>
        <v>424.56000000000006</v>
      </c>
      <c r="M24" s="124" t="s">
        <v>280</v>
      </c>
    </row>
    <row r="25" spans="1:12" ht="12.75">
      <c r="A25" s="2"/>
      <c r="B25" s="2"/>
      <c r="C25" s="2"/>
      <c r="D25" s="2"/>
      <c r="E25" s="3"/>
      <c r="F25" s="3"/>
      <c r="G25" s="25"/>
      <c r="H25" s="25"/>
      <c r="I25" s="25"/>
      <c r="J25" s="25"/>
      <c r="K25" s="25"/>
      <c r="L25" s="25"/>
    </row>
    <row r="26" spans="1:12" ht="12.75">
      <c r="A26" s="2"/>
      <c r="B26" s="2"/>
      <c r="C26" s="2"/>
      <c r="D26" s="2"/>
      <c r="E26" s="3"/>
      <c r="F26" s="19" t="s">
        <v>76</v>
      </c>
      <c r="G26" s="107">
        <f aca="true" t="shared" si="1" ref="G26:L26">SUM(G9:G24)</f>
        <v>674.54</v>
      </c>
      <c r="H26" s="107">
        <f t="shared" si="1"/>
        <v>1997.38</v>
      </c>
      <c r="I26" s="107">
        <f t="shared" si="1"/>
        <v>5670.090000000001</v>
      </c>
      <c r="J26" s="107">
        <f t="shared" si="1"/>
        <v>2323.25</v>
      </c>
      <c r="K26" s="107">
        <f t="shared" si="1"/>
        <v>1635.66</v>
      </c>
      <c r="L26" s="107">
        <f t="shared" si="1"/>
        <v>12300.92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6.00390625" style="26" customWidth="1"/>
    <col min="2" max="4" width="11.00390625" style="26" bestFit="1" customWidth="1"/>
    <col min="5" max="5" width="18.7109375" style="26" bestFit="1" customWidth="1"/>
    <col min="6" max="6" width="50.140625" style="130" customWidth="1"/>
    <col min="7" max="11" width="11.140625" style="26" bestFit="1" customWidth="1"/>
    <col min="12" max="12" width="12.140625" style="26" bestFit="1" customWidth="1"/>
    <col min="13" max="16384" width="9.140625" style="26" customWidth="1"/>
  </cols>
  <sheetData>
    <row r="1" spans="1:12" ht="12.75">
      <c r="A1" s="61" t="s">
        <v>52</v>
      </c>
      <c r="B1" s="42"/>
      <c r="C1" s="42">
        <v>432</v>
      </c>
      <c r="D1" s="42"/>
      <c r="E1" s="31"/>
      <c r="F1" s="44" t="s">
        <v>45</v>
      </c>
      <c r="G1" s="42"/>
      <c r="H1" s="42"/>
      <c r="I1" s="42"/>
      <c r="J1" s="42"/>
      <c r="K1" s="42"/>
      <c r="L1" s="42"/>
    </row>
    <row r="2" spans="1:12" ht="12.75">
      <c r="A2" s="42" t="s">
        <v>44</v>
      </c>
      <c r="B2" s="42"/>
      <c r="C2" s="42"/>
      <c r="D2" s="42"/>
      <c r="E2" s="31"/>
      <c r="F2" s="31"/>
      <c r="G2" s="42"/>
      <c r="H2" s="42"/>
      <c r="I2" s="42"/>
      <c r="J2" s="42"/>
      <c r="K2" s="42"/>
      <c r="L2" s="42"/>
    </row>
    <row r="3" spans="1:12" ht="12.75">
      <c r="A3" s="42" t="s">
        <v>1</v>
      </c>
      <c r="B3" s="42"/>
      <c r="C3" s="42"/>
      <c r="D3" s="42"/>
      <c r="E3" s="31"/>
      <c r="F3" s="31"/>
      <c r="G3" s="42"/>
      <c r="H3" s="42"/>
      <c r="I3" s="42"/>
      <c r="J3" s="42"/>
      <c r="K3" s="42"/>
      <c r="L3" s="42"/>
    </row>
    <row r="4" spans="1:12" ht="12.75">
      <c r="A4" s="42" t="s">
        <v>56</v>
      </c>
      <c r="B4" s="42"/>
      <c r="C4" s="42"/>
      <c r="D4" s="42"/>
      <c r="E4" s="31"/>
      <c r="F4" s="31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31"/>
      <c r="F5" s="31"/>
      <c r="G5" s="42"/>
      <c r="H5" s="42"/>
      <c r="I5" s="42"/>
      <c r="J5" s="42"/>
      <c r="K5" s="42"/>
      <c r="L5" s="42"/>
    </row>
    <row r="6" spans="1:12" ht="13.5" thickBot="1">
      <c r="A6" s="42"/>
      <c r="B6" s="42"/>
      <c r="C6" s="42"/>
      <c r="D6" s="42"/>
      <c r="E6" s="31"/>
      <c r="F6" s="31"/>
      <c r="G6" s="42"/>
      <c r="H6" s="42"/>
      <c r="I6" s="42"/>
      <c r="J6" s="42"/>
      <c r="K6" s="42"/>
      <c r="L6" s="42"/>
    </row>
    <row r="7" spans="1:12" ht="12.75">
      <c r="A7" s="62" t="s">
        <v>17</v>
      </c>
      <c r="B7" s="63" t="s">
        <v>2</v>
      </c>
      <c r="C7" s="64" t="s">
        <v>3</v>
      </c>
      <c r="D7" s="64"/>
      <c r="E7" s="65" t="s">
        <v>4</v>
      </c>
      <c r="F7" s="66" t="s">
        <v>5</v>
      </c>
      <c r="G7" s="65" t="s">
        <v>6</v>
      </c>
      <c r="H7" s="66" t="s">
        <v>7</v>
      </c>
      <c r="I7" s="67" t="s">
        <v>8</v>
      </c>
      <c r="J7" s="64" t="s">
        <v>9</v>
      </c>
      <c r="K7" s="67" t="s">
        <v>10</v>
      </c>
      <c r="L7" s="67" t="s">
        <v>11</v>
      </c>
    </row>
    <row r="8" spans="1:12" ht="13.5" thickBot="1">
      <c r="A8" s="68" t="s">
        <v>12</v>
      </c>
      <c r="B8" s="69" t="s">
        <v>13</v>
      </c>
      <c r="C8" s="70" t="s">
        <v>13</v>
      </c>
      <c r="D8" s="70"/>
      <c r="E8" s="71"/>
      <c r="F8" s="72"/>
      <c r="G8" s="71" t="s">
        <v>14</v>
      </c>
      <c r="H8" s="73"/>
      <c r="I8" s="74"/>
      <c r="J8" s="75" t="s">
        <v>15</v>
      </c>
      <c r="K8" s="76"/>
      <c r="L8" s="76"/>
    </row>
    <row r="9" spans="1:12" ht="25.5">
      <c r="A9" s="50" t="s">
        <v>100</v>
      </c>
      <c r="B9" s="51">
        <v>38023</v>
      </c>
      <c r="C9" s="28">
        <v>37926</v>
      </c>
      <c r="D9" s="28">
        <v>37932</v>
      </c>
      <c r="E9" s="29" t="s">
        <v>101</v>
      </c>
      <c r="F9" s="52" t="s">
        <v>102</v>
      </c>
      <c r="G9" s="40">
        <v>825.56</v>
      </c>
      <c r="H9" s="40"/>
      <c r="I9" s="40">
        <v>913.12</v>
      </c>
      <c r="J9" s="40">
        <v>258.5</v>
      </c>
      <c r="K9" s="40"/>
      <c r="L9" s="40">
        <f aca="true" t="shared" si="0" ref="L9:L17">SUM(G9:K9)</f>
        <v>1997.1799999999998</v>
      </c>
    </row>
    <row r="10" spans="1:12" ht="12.75">
      <c r="A10" s="50" t="s">
        <v>103</v>
      </c>
      <c r="B10" s="51">
        <v>38016</v>
      </c>
      <c r="C10" s="28">
        <v>38002</v>
      </c>
      <c r="D10" s="28">
        <v>38003</v>
      </c>
      <c r="E10" s="29" t="s">
        <v>63</v>
      </c>
      <c r="F10" s="52" t="s">
        <v>104</v>
      </c>
      <c r="G10" s="40">
        <v>76.24</v>
      </c>
      <c r="H10" s="40">
        <v>247.9</v>
      </c>
      <c r="I10" s="40">
        <v>136.26</v>
      </c>
      <c r="J10" s="40">
        <v>76.5</v>
      </c>
      <c r="K10" s="40">
        <v>32</v>
      </c>
      <c r="L10" s="40">
        <f t="shared" si="0"/>
        <v>568.9</v>
      </c>
    </row>
    <row r="11" spans="1:12" ht="25.5">
      <c r="A11" s="50" t="s">
        <v>105</v>
      </c>
      <c r="B11" s="51">
        <v>38233</v>
      </c>
      <c r="C11" s="28">
        <v>38066</v>
      </c>
      <c r="D11" s="28">
        <v>38072</v>
      </c>
      <c r="E11" s="29" t="s">
        <v>63</v>
      </c>
      <c r="F11" s="52" t="s">
        <v>106</v>
      </c>
      <c r="G11" s="40">
        <v>344.14</v>
      </c>
      <c r="H11" s="40"/>
      <c r="I11" s="40">
        <v>1028.24</v>
      </c>
      <c r="J11" s="40">
        <v>296.5</v>
      </c>
      <c r="K11" s="40">
        <v>134</v>
      </c>
      <c r="L11" s="40">
        <f t="shared" si="0"/>
        <v>1802.88</v>
      </c>
    </row>
    <row r="12" spans="1:12" ht="12.75">
      <c r="A12" s="50" t="s">
        <v>107</v>
      </c>
      <c r="B12" s="51">
        <v>38107</v>
      </c>
      <c r="C12" s="28">
        <v>38084</v>
      </c>
      <c r="D12" s="28">
        <v>38085</v>
      </c>
      <c r="E12" s="29" t="s">
        <v>82</v>
      </c>
      <c r="F12" s="95" t="s">
        <v>83</v>
      </c>
      <c r="G12" s="40">
        <v>159.38</v>
      </c>
      <c r="H12" s="40"/>
      <c r="I12" s="40">
        <v>59.68</v>
      </c>
      <c r="J12" s="40">
        <v>46.5</v>
      </c>
      <c r="K12" s="40"/>
      <c r="L12" s="40">
        <f t="shared" si="0"/>
        <v>265.56</v>
      </c>
    </row>
    <row r="13" spans="1:12" ht="12.75">
      <c r="A13" s="48" t="s">
        <v>79</v>
      </c>
      <c r="B13" s="51">
        <v>38085</v>
      </c>
      <c r="C13" s="28">
        <v>38043</v>
      </c>
      <c r="D13" s="28">
        <v>38044</v>
      </c>
      <c r="E13" s="29" t="s">
        <v>63</v>
      </c>
      <c r="F13" s="52" t="s">
        <v>108</v>
      </c>
      <c r="G13" s="40">
        <v>46.24</v>
      </c>
      <c r="H13" s="40">
        <v>247.9</v>
      </c>
      <c r="I13" s="40">
        <v>125.8</v>
      </c>
      <c r="J13" s="40">
        <v>76.5</v>
      </c>
      <c r="K13" s="40">
        <v>55</v>
      </c>
      <c r="L13" s="40">
        <f t="shared" si="0"/>
        <v>551.44</v>
      </c>
    </row>
    <row r="14" spans="1:12" ht="25.5">
      <c r="A14" s="50" t="s">
        <v>109</v>
      </c>
      <c r="B14" s="51">
        <v>38259</v>
      </c>
      <c r="C14" s="28">
        <v>38260</v>
      </c>
      <c r="D14" s="28">
        <v>38265</v>
      </c>
      <c r="E14" s="29" t="s">
        <v>63</v>
      </c>
      <c r="F14" s="52" t="s">
        <v>110</v>
      </c>
      <c r="G14" s="40">
        <v>67.94</v>
      </c>
      <c r="H14" s="40">
        <v>244.4</v>
      </c>
      <c r="I14" s="40">
        <v>1240.31</v>
      </c>
      <c r="J14" s="40">
        <v>280.5</v>
      </c>
      <c r="K14" s="40">
        <f>10.4+188.82</f>
        <v>199.22</v>
      </c>
      <c r="L14" s="40">
        <f t="shared" si="0"/>
        <v>2032.3700000000001</v>
      </c>
    </row>
    <row r="15" spans="1:12" ht="12.75">
      <c r="A15" s="48" t="s">
        <v>111</v>
      </c>
      <c r="B15" s="51">
        <v>37897</v>
      </c>
      <c r="C15" s="28">
        <v>37899</v>
      </c>
      <c r="D15" s="28">
        <v>37906</v>
      </c>
      <c r="E15" s="29" t="s">
        <v>58</v>
      </c>
      <c r="F15" s="29" t="s">
        <v>112</v>
      </c>
      <c r="G15" s="40">
        <v>720</v>
      </c>
      <c r="H15" s="40"/>
      <c r="I15" s="40">
        <v>638.58</v>
      </c>
      <c r="J15" s="40">
        <v>222</v>
      </c>
      <c r="K15" s="40">
        <v>48</v>
      </c>
      <c r="L15" s="40">
        <f t="shared" si="0"/>
        <v>1628.58</v>
      </c>
    </row>
    <row r="16" spans="1:12" ht="25.5">
      <c r="A16" s="77" t="s">
        <v>113</v>
      </c>
      <c r="B16" s="99">
        <v>38287</v>
      </c>
      <c r="C16" s="99">
        <v>38250</v>
      </c>
      <c r="D16" s="99">
        <v>38256</v>
      </c>
      <c r="E16" s="31" t="s">
        <v>63</v>
      </c>
      <c r="F16" s="98" t="s">
        <v>114</v>
      </c>
      <c r="G16" s="40">
        <v>46.24</v>
      </c>
      <c r="H16" s="40">
        <v>559.4</v>
      </c>
      <c r="I16" s="40">
        <v>1448.68</v>
      </c>
      <c r="J16" s="40">
        <v>331.5</v>
      </c>
      <c r="K16" s="40">
        <v>313.47</v>
      </c>
      <c r="L16" s="40">
        <f t="shared" si="0"/>
        <v>2699.29</v>
      </c>
    </row>
    <row r="17" spans="1:12" ht="25.5">
      <c r="A17" s="77" t="s">
        <v>115</v>
      </c>
      <c r="B17" s="99">
        <v>38016</v>
      </c>
      <c r="C17" s="99">
        <v>37966</v>
      </c>
      <c r="D17" s="99">
        <v>37972</v>
      </c>
      <c r="E17" s="31" t="s">
        <v>116</v>
      </c>
      <c r="F17" s="98" t="s">
        <v>117</v>
      </c>
      <c r="G17" s="41">
        <v>46.24</v>
      </c>
      <c r="H17" s="41">
        <v>1045.14</v>
      </c>
      <c r="I17" s="41">
        <v>1315.44</v>
      </c>
      <c r="J17" s="41">
        <v>461.5</v>
      </c>
      <c r="K17" s="41">
        <v>667.98</v>
      </c>
      <c r="L17" s="41">
        <f t="shared" si="0"/>
        <v>3536.3</v>
      </c>
    </row>
    <row r="18" spans="1:12" ht="12.75">
      <c r="A18" s="77"/>
      <c r="B18" s="99"/>
      <c r="C18" s="99"/>
      <c r="D18" s="99"/>
      <c r="E18" s="31"/>
      <c r="F18" s="98"/>
      <c r="G18" s="40"/>
      <c r="H18" s="40"/>
      <c r="I18" s="40"/>
      <c r="J18" s="40"/>
      <c r="K18" s="40"/>
      <c r="L18" s="40"/>
    </row>
    <row r="19" spans="5:12" ht="12.75">
      <c r="E19" s="31"/>
      <c r="F19" s="44" t="s">
        <v>76</v>
      </c>
      <c r="G19" s="106">
        <f aca="true" t="shared" si="1" ref="G19:L19">SUM(G9:G17)</f>
        <v>2331.9799999999996</v>
      </c>
      <c r="H19" s="106">
        <f t="shared" si="1"/>
        <v>2344.74</v>
      </c>
      <c r="I19" s="106">
        <f t="shared" si="1"/>
        <v>6906.110000000001</v>
      </c>
      <c r="J19" s="106">
        <f t="shared" si="1"/>
        <v>2050</v>
      </c>
      <c r="K19" s="106">
        <f t="shared" si="1"/>
        <v>1449.67</v>
      </c>
      <c r="L19" s="106">
        <f t="shared" si="1"/>
        <v>15082.5</v>
      </c>
    </row>
    <row r="20" spans="1:9" ht="12.75">
      <c r="A20" s="48"/>
      <c r="I20" s="42"/>
    </row>
    <row r="21" ht="12.75">
      <c r="A21" s="48"/>
    </row>
    <row r="22" ht="12.75">
      <c r="A22" s="48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  <row r="28" ht="12.75">
      <c r="A28" s="48"/>
    </row>
    <row r="29" ht="12.75">
      <c r="A29" s="48"/>
    </row>
    <row r="30" ht="12.75">
      <c r="A30" s="48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4" width="10.140625" style="0" bestFit="1" customWidth="1"/>
    <col min="5" max="5" width="18.8515625" style="0" bestFit="1" customWidth="1"/>
    <col min="6" max="6" width="36.00390625" style="60" customWidth="1"/>
    <col min="7" max="7" width="10.28125" style="0" bestFit="1" customWidth="1"/>
    <col min="8" max="8" width="9.28125" style="0" bestFit="1" customWidth="1"/>
    <col min="9" max="9" width="10.28125" style="0" bestFit="1" customWidth="1"/>
    <col min="10" max="11" width="9.28125" style="0" bestFit="1" customWidth="1"/>
    <col min="12" max="12" width="10.28125" style="0" bestFit="1" customWidth="1"/>
  </cols>
  <sheetData>
    <row r="1" spans="1:12" ht="12.75">
      <c r="A1" s="1" t="s">
        <v>41</v>
      </c>
      <c r="B1" s="2"/>
      <c r="C1" s="2">
        <v>13785</v>
      </c>
      <c r="D1" s="2"/>
      <c r="E1" s="3"/>
      <c r="F1" s="19" t="s">
        <v>43</v>
      </c>
      <c r="G1" s="2"/>
      <c r="H1" s="2"/>
      <c r="I1" s="2"/>
      <c r="J1" s="2"/>
      <c r="K1" s="2"/>
      <c r="L1" s="2"/>
    </row>
    <row r="2" spans="1:12" ht="12.75">
      <c r="A2" s="2" t="s">
        <v>42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56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17</v>
      </c>
      <c r="B7" s="7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3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6" t="s">
        <v>15</v>
      </c>
      <c r="K8" s="17"/>
      <c r="L8" s="17"/>
    </row>
    <row r="9" spans="1:13" ht="38.25">
      <c r="A9" s="46" t="s">
        <v>118</v>
      </c>
      <c r="B9" s="119">
        <v>38002</v>
      </c>
      <c r="C9" s="53">
        <v>37899</v>
      </c>
      <c r="D9" s="28">
        <v>37904</v>
      </c>
      <c r="E9" s="47" t="s">
        <v>58</v>
      </c>
      <c r="F9" s="87" t="s">
        <v>289</v>
      </c>
      <c r="G9" s="40">
        <v>692.28</v>
      </c>
      <c r="H9" s="40"/>
      <c r="I9" s="40">
        <v>372.37</v>
      </c>
      <c r="J9" s="40">
        <v>206.5</v>
      </c>
      <c r="K9" s="40">
        <v>135.25</v>
      </c>
      <c r="L9" s="24">
        <f>SUM(G9:K9)</f>
        <v>1406.4</v>
      </c>
      <c r="M9" t="s">
        <v>292</v>
      </c>
    </row>
    <row r="10" spans="1:13" s="26" customFormat="1" ht="12.75">
      <c r="A10" s="46" t="s">
        <v>77</v>
      </c>
      <c r="B10" s="120">
        <v>38184</v>
      </c>
      <c r="C10" s="120">
        <v>38156</v>
      </c>
      <c r="D10" s="89">
        <v>38162</v>
      </c>
      <c r="E10" s="50" t="s">
        <v>78</v>
      </c>
      <c r="F10" s="130" t="s">
        <v>119</v>
      </c>
      <c r="G10" s="40">
        <v>516.26</v>
      </c>
      <c r="H10" s="40"/>
      <c r="I10" s="40">
        <v>669.8</v>
      </c>
      <c r="J10" s="40">
        <v>201.5</v>
      </c>
      <c r="K10" s="40">
        <v>465</v>
      </c>
      <c r="L10" s="24">
        <f>SUM(G10:K10)</f>
        <v>1852.56</v>
      </c>
      <c r="M10" s="26" t="s">
        <v>245</v>
      </c>
    </row>
    <row r="11" spans="1:13" s="26" customFormat="1" ht="25.5">
      <c r="A11" s="46" t="s">
        <v>266</v>
      </c>
      <c r="B11" s="120">
        <v>38275</v>
      </c>
      <c r="C11" s="120">
        <v>38250</v>
      </c>
      <c r="D11" s="89">
        <v>38256</v>
      </c>
      <c r="E11" s="50" t="s">
        <v>63</v>
      </c>
      <c r="F11" s="52" t="s">
        <v>267</v>
      </c>
      <c r="G11" s="40">
        <v>37</v>
      </c>
      <c r="H11" s="40">
        <v>277.41</v>
      </c>
      <c r="I11" s="40">
        <v>1641.96</v>
      </c>
      <c r="J11" s="40">
        <v>331.5</v>
      </c>
      <c r="K11" s="40">
        <f>216.75+34.65</f>
        <v>251.4</v>
      </c>
      <c r="L11" s="24">
        <f>SUM(G11:K11)</f>
        <v>2539.27</v>
      </c>
      <c r="M11" s="26" t="s">
        <v>246</v>
      </c>
    </row>
    <row r="12" spans="1:13" ht="12.75">
      <c r="A12" s="46" t="s">
        <v>99</v>
      </c>
      <c r="B12" s="18">
        <v>38259</v>
      </c>
      <c r="C12" s="18">
        <v>38263</v>
      </c>
      <c r="D12" s="91">
        <v>38268</v>
      </c>
      <c r="E12" s="49" t="s">
        <v>58</v>
      </c>
      <c r="F12" s="31" t="s">
        <v>68</v>
      </c>
      <c r="G12" s="25">
        <v>686.38</v>
      </c>
      <c r="H12" s="25"/>
      <c r="I12" s="25">
        <v>435.02</v>
      </c>
      <c r="J12" s="25">
        <v>182.5</v>
      </c>
      <c r="K12" s="25"/>
      <c r="L12" s="25">
        <f>SUM(G12:K12)</f>
        <v>1303.9</v>
      </c>
      <c r="M12" s="104" t="s">
        <v>244</v>
      </c>
    </row>
    <row r="13" spans="1:12" ht="12.75">
      <c r="A13" s="2"/>
      <c r="B13" s="2"/>
      <c r="C13" s="2"/>
      <c r="D13" s="2"/>
      <c r="E13" s="3"/>
      <c r="F13" s="19" t="s">
        <v>76</v>
      </c>
      <c r="G13" s="107">
        <f aca="true" t="shared" si="0" ref="G13:L13">SUM(G9:G12)</f>
        <v>1931.92</v>
      </c>
      <c r="H13" s="107">
        <f t="shared" si="0"/>
        <v>277.41</v>
      </c>
      <c r="I13" s="107">
        <f t="shared" si="0"/>
        <v>3119.15</v>
      </c>
      <c r="J13" s="107">
        <f t="shared" si="0"/>
        <v>922</v>
      </c>
      <c r="K13" s="107">
        <f t="shared" si="0"/>
        <v>851.65</v>
      </c>
      <c r="L13" s="107">
        <f t="shared" si="0"/>
        <v>7102.129999999999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tamsye-leake</dc:creator>
  <cp:keywords/>
  <dc:description/>
  <cp:lastModifiedBy>Bryan Crittenden</cp:lastModifiedBy>
  <cp:lastPrinted>2007-03-20T16:01:42Z</cp:lastPrinted>
  <dcterms:created xsi:type="dcterms:W3CDTF">2007-02-08T17:51:22Z</dcterms:created>
  <dcterms:modified xsi:type="dcterms:W3CDTF">2009-03-04T14:43:56Z</dcterms:modified>
  <cp:category/>
  <cp:version/>
  <cp:contentType/>
  <cp:contentStatus/>
</cp:coreProperties>
</file>